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9680" windowHeight="5200" activeTab="0"/>
  </bookViews>
  <sheets>
    <sheet name="Instructions" sheetId="1" r:id="rId1"/>
    <sheet name="Crawfish" sheetId="2" r:id="rId2"/>
  </sheets>
  <definedNames>
    <definedName name="ADDCALC">'Crawfish'!$A$68:$K$82</definedName>
    <definedName name="INST_PAR">'Crawfish'!#REF!</definedName>
    <definedName name="_xlnm.Print_Area" localSheetId="1">'Crawfish'!$A$1:$T$62</definedName>
    <definedName name="Print_Area_MI" localSheetId="1">'Crawfish'!$A$2:$T$82</definedName>
    <definedName name="WORKSHET">'Crawfish'!$A$3:$K$62</definedName>
  </definedNames>
  <calcPr fullCalcOnLoad="1"/>
</workbook>
</file>

<file path=xl/sharedStrings.xml><?xml version="1.0" encoding="utf-8"?>
<sst xmlns="http://schemas.openxmlformats.org/spreadsheetml/2006/main" count="333" uniqueCount="83">
  <si>
    <t>Enter a formula for oil rate in BOPD * 365 to get annual rates.  Follow that by a factor and copy over for a constant decline.</t>
  </si>
  <si>
    <t xml:space="preserve">For example, enter 300 * 365 in Cell D10.  </t>
  </si>
  <si>
    <t>To escalate prices or costs, multiply by a factor of (1 + escalation rate) and copy across.</t>
  </si>
  <si>
    <t>For example, to escalate oil price after 2003, enter beginning price in Cell D12</t>
  </si>
  <si>
    <t>Then enter =D12 * (1+0.03) in Cell E12.  Copy Cell E12 across the row to effect a 3% escalation.</t>
  </si>
  <si>
    <t>Then enter =D10 * (0.75) in Cell E10.  Copy Cell E10 across the row to effect a 25% decline.</t>
  </si>
  <si>
    <t xml:space="preserve">The spreadsheet is protected to preserve the formulas.  </t>
  </si>
  <si>
    <t>You may want to make a copy for your use.  If you need to adjust a protected cell, use Tools, Unprotect Workbook on the menu.</t>
  </si>
  <si>
    <t xml:space="preserve">Royalty: </t>
  </si>
  <si>
    <t>Ad valorem tax:</t>
  </si>
  <si>
    <t>Income tax rate:</t>
  </si>
  <si>
    <t>Discount rate:</t>
  </si>
  <si>
    <t>ITEM  /  YEAR</t>
  </si>
  <si>
    <t>Timing*</t>
  </si>
  <si>
    <t xml:space="preserve">   TOTAL</t>
  </si>
  <si>
    <t>Oil Prod, MBLS</t>
  </si>
  <si>
    <t>Net Oil, MBLS</t>
  </si>
  <si>
    <t>Oil Revenue, $M</t>
  </si>
  <si>
    <t>-</t>
  </si>
  <si>
    <t>Gas Prod, MMCFG</t>
  </si>
  <si>
    <t xml:space="preserve">Net Gas, MMCFG </t>
  </si>
  <si>
    <t>Gas Price ($/MCF)</t>
  </si>
  <si>
    <t>Gas Revenue, $M</t>
  </si>
  <si>
    <t>Total Revenue,$M</t>
  </si>
  <si>
    <t>Severance Tax Oil</t>
  </si>
  <si>
    <t>Severance Tax Gas</t>
  </si>
  <si>
    <t>Ad Valorem Tax</t>
  </si>
  <si>
    <t>Net BFIT</t>
  </si>
  <si>
    <t>Net Cash Flow</t>
  </si>
  <si>
    <t xml:space="preserve">  PROFIT</t>
  </si>
  <si>
    <t>Tot Inv</t>
  </si>
  <si>
    <t xml:space="preserve"> Payout</t>
  </si>
  <si>
    <t>NPV</t>
  </si>
  <si>
    <t xml:space="preserve"> </t>
  </si>
  <si>
    <t>INDICATORS</t>
  </si>
  <si>
    <t>* Timing: 0 is beginning of year, 1 is middle of year.</t>
  </si>
  <si>
    <t>INCOME   TAX   WORKSHEET</t>
  </si>
  <si>
    <t>Net before tax</t>
  </si>
  <si>
    <t>Cost Depletion</t>
  </si>
  <si>
    <t>70% IDC</t>
  </si>
  <si>
    <t>30% IDC amortiz.</t>
  </si>
  <si>
    <t>Intangible Other</t>
  </si>
  <si>
    <t>Taxable Income</t>
  </si>
  <si>
    <t>ADDITIONAL CALCULATIONS FOR CASH FLOW WORKSHEET AND INCOME TAX WORKSHEET</t>
  </si>
  <si>
    <t>Rem Res 1/1</t>
  </si>
  <si>
    <t>Rem Res 12/1</t>
  </si>
  <si>
    <t>Remain leasehold</t>
  </si>
  <si>
    <t>Unit of Prod Depl</t>
  </si>
  <si>
    <t>NPV:</t>
  </si>
  <si>
    <t>Bonus:</t>
  </si>
  <si>
    <t>Tangible</t>
  </si>
  <si>
    <t>Intangible</t>
  </si>
  <si>
    <t>Other</t>
  </si>
  <si>
    <t>Cash Flow</t>
  </si>
  <si>
    <t>Total NPV</t>
  </si>
  <si>
    <t>Payout flag</t>
  </si>
  <si>
    <t>Profit Ratio</t>
  </si>
  <si>
    <t>IRR</t>
  </si>
  <si>
    <t xml:space="preserve"> CASH FLOW WORKSHEET </t>
  </si>
  <si>
    <t>Oil Price ($/BBL)</t>
  </si>
  <si>
    <t>Operating Costs, $M</t>
  </si>
  <si>
    <t>Other Expense, $M</t>
  </si>
  <si>
    <t>Net before Inv</t>
  </si>
  <si>
    <t>Bonus, $M</t>
  </si>
  <si>
    <t>Tang. Investment, $M</t>
  </si>
  <si>
    <t>IDC, $M</t>
  </si>
  <si>
    <t>Intang. Other, $M</t>
  </si>
  <si>
    <t>Income Tax, $M</t>
  </si>
  <si>
    <t>Net Cash Flow, $M</t>
  </si>
  <si>
    <t>Cum Cash Flow, $M</t>
  </si>
  <si>
    <t>NPV Index</t>
  </si>
  <si>
    <t>Depreciation</t>
  </si>
  <si>
    <t>Income Tax</t>
  </si>
  <si>
    <t>Collarini Engineering Inc.</t>
  </si>
  <si>
    <t xml:space="preserve">This spreadsheet calculates simple profitability of a project using inputs you provide. </t>
  </si>
  <si>
    <t xml:space="preserve">Cells that are buff-colored are input cells.  </t>
  </si>
  <si>
    <t>Input royalty, income tax rates, severance tax rates, etc. at the top.</t>
  </si>
  <si>
    <t>Input oil and gas volumes, prices, operating costs, and capital by year.</t>
  </si>
  <si>
    <t>Cells that are blue contain the economic indicators.</t>
  </si>
  <si>
    <t>Cells that are gray contain headings.  If you click on them, a definition will pop up.</t>
  </si>
  <si>
    <t>Tips:</t>
  </si>
  <si>
    <t>Use a tax rate of zero to get before tax economic indicators.</t>
  </si>
  <si>
    <t xml:space="preserve">Use the timing column to indicate where during the year the investments occur.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</si>
</sst>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General_)"/>
    <numFmt numFmtId="168" formatCode="0.0_)"/>
    <numFmt numFmtId="169" formatCode="0.00_)"/>
    <numFmt numFmtId="170" formatCode="_(* #,##0.0_);_(* \(#,##0.0\);_(* &quot;-&quot;??_);_(@_)"/>
    <numFmt numFmtId="171" formatCode="_(* #,##0_);_(* \(#,##0\);_(* &quot;-&quot;??_);_(@_)"/>
    <numFmt numFmtId="172" formatCode="#,##0.0"/>
    <numFmt numFmtId="173" formatCode="0.000"/>
  </numFmts>
  <fonts count="1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name val="Arial"/>
      <family val="2"/>
    </font>
    <font>
      <b/>
      <sz val="10"/>
      <color indexed="10"/>
      <name val="Arial"/>
      <family val="0"/>
    </font>
    <font>
      <b/>
      <u val="single"/>
      <sz val="10"/>
      <color indexed="10"/>
      <name val="Arial"/>
      <family val="2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</borders>
  <cellStyleXfs count="22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68">
    <xf numFmtId="167" fontId="0" fillId="0" borderId="0" xfId="0" applyAlignment="1">
      <alignment/>
    </xf>
    <xf numFmtId="167" fontId="4" fillId="0" borderId="0" xfId="0" applyFont="1" applyAlignment="1">
      <alignment/>
    </xf>
    <xf numFmtId="168" fontId="4" fillId="0" borderId="0" xfId="0" applyNumberFormat="1" applyFont="1" applyAlignment="1" applyProtection="1">
      <alignment/>
      <protection/>
    </xf>
    <xf numFmtId="169" fontId="4" fillId="0" borderId="0" xfId="0" applyNumberFormat="1" applyFont="1" applyAlignment="1" applyProtection="1">
      <alignment/>
      <protection/>
    </xf>
    <xf numFmtId="168" fontId="4" fillId="0" borderId="0" xfId="0" applyNumberFormat="1" applyFont="1" applyAlignment="1" applyProtection="1">
      <alignment horizontal="fill"/>
      <protection/>
    </xf>
    <xf numFmtId="167" fontId="1" fillId="0" borderId="0" xfId="0" applyFont="1" applyAlignment="1">
      <alignment/>
    </xf>
    <xf numFmtId="167" fontId="1" fillId="0" borderId="0" xfId="0" applyNumberFormat="1" applyFont="1" applyAlignment="1" applyProtection="1">
      <alignment horizontal="left"/>
      <protection/>
    </xf>
    <xf numFmtId="167" fontId="1" fillId="0" borderId="0" xfId="0" applyFont="1" applyAlignment="1">
      <alignment horizontal="right"/>
    </xf>
    <xf numFmtId="171" fontId="1" fillId="0" borderId="0" xfId="15" applyNumberFormat="1" applyFont="1" applyAlignment="1" applyProtection="1">
      <alignment horizontal="left"/>
      <protection/>
    </xf>
    <xf numFmtId="171" fontId="4" fillId="0" borderId="0" xfId="15" applyNumberFormat="1" applyFont="1" applyAlignment="1">
      <alignment/>
    </xf>
    <xf numFmtId="171" fontId="4" fillId="0" borderId="0" xfId="15" applyNumberFormat="1" applyFont="1" applyAlignment="1" applyProtection="1">
      <alignment/>
      <protection/>
    </xf>
    <xf numFmtId="168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 horizontal="left"/>
      <protection/>
    </xf>
    <xf numFmtId="3" fontId="4" fillId="0" borderId="0" xfId="0" applyNumberFormat="1" applyFont="1" applyAlignment="1">
      <alignment/>
    </xf>
    <xf numFmtId="167" fontId="1" fillId="0" borderId="0" xfId="0" applyFont="1" applyBorder="1" applyAlignment="1">
      <alignment/>
    </xf>
    <xf numFmtId="167" fontId="1" fillId="0" borderId="0" xfId="0" applyFont="1" applyAlignment="1">
      <alignment horizontal="center"/>
    </xf>
    <xf numFmtId="167" fontId="4" fillId="0" borderId="0" xfId="0" applyFont="1" applyAlignment="1">
      <alignment horizontal="center"/>
    </xf>
    <xf numFmtId="171" fontId="4" fillId="0" borderId="0" xfId="15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71" fontId="1" fillId="0" borderId="0" xfId="0" applyNumberFormat="1" applyFont="1" applyAlignment="1" applyProtection="1">
      <alignment horizontal="left"/>
      <protection/>
    </xf>
    <xf numFmtId="171" fontId="4" fillId="0" borderId="0" xfId="0" applyNumberFormat="1" applyFont="1" applyAlignment="1">
      <alignment horizontal="center"/>
    </xf>
    <xf numFmtId="171" fontId="4" fillId="0" borderId="0" xfId="0" applyNumberFormat="1" applyFont="1" applyAlignment="1" applyProtection="1">
      <alignment/>
      <protection/>
    </xf>
    <xf numFmtId="171" fontId="4" fillId="0" borderId="0" xfId="0" applyNumberFormat="1" applyFont="1" applyAlignment="1">
      <alignment/>
    </xf>
    <xf numFmtId="168" fontId="1" fillId="0" borderId="0" xfId="0" applyNumberFormat="1" applyFont="1" applyAlignment="1" applyProtection="1">
      <alignment horizontal="right"/>
      <protection/>
    </xf>
    <xf numFmtId="168" fontId="1" fillId="0" borderId="0" xfId="0" applyNumberFormat="1" applyFont="1" applyAlignment="1" applyProtection="1">
      <alignment horizontal="fill"/>
      <protection/>
    </xf>
    <xf numFmtId="168" fontId="1" fillId="0" borderId="0" xfId="0" applyNumberFormat="1" applyFont="1" applyAlignment="1" applyProtection="1">
      <alignment horizontal="center"/>
      <protection/>
    </xf>
    <xf numFmtId="170" fontId="4" fillId="0" borderId="0" xfId="15" applyNumberFormat="1" applyFont="1" applyAlignment="1" applyProtection="1">
      <alignment horizontal="center"/>
      <protection/>
    </xf>
    <xf numFmtId="170" fontId="1" fillId="0" borderId="0" xfId="0" applyNumberFormat="1" applyFont="1" applyAlignment="1">
      <alignment/>
    </xf>
    <xf numFmtId="170" fontId="4" fillId="0" borderId="0" xfId="0" applyNumberFormat="1" applyFont="1" applyAlignment="1">
      <alignment horizontal="center"/>
    </xf>
    <xf numFmtId="170" fontId="4" fillId="0" borderId="0" xfId="0" applyNumberFormat="1" applyFont="1" applyAlignment="1">
      <alignment/>
    </xf>
    <xf numFmtId="171" fontId="1" fillId="0" borderId="0" xfId="15" applyNumberFormat="1" applyFont="1" applyAlignment="1" applyProtection="1">
      <alignment/>
      <protection/>
    </xf>
    <xf numFmtId="171" fontId="5" fillId="0" borderId="0" xfId="0" applyNumberFormat="1" applyFont="1" applyAlignment="1" applyProtection="1">
      <alignment/>
      <protection/>
    </xf>
    <xf numFmtId="171" fontId="5" fillId="0" borderId="0" xfId="15" applyNumberFormat="1" applyFont="1" applyAlignment="1" applyProtection="1">
      <alignment/>
      <protection/>
    </xf>
    <xf numFmtId="167" fontId="1" fillId="0" borderId="0" xfId="0" applyFont="1" applyAlignment="1">
      <alignment horizontal="centerContinuous"/>
    </xf>
    <xf numFmtId="167" fontId="1" fillId="0" borderId="0" xfId="0" applyFont="1" applyAlignment="1">
      <alignment/>
    </xf>
    <xf numFmtId="167" fontId="1" fillId="2" borderId="1" xfId="0" applyFont="1" applyFill="1" applyBorder="1" applyAlignment="1" applyProtection="1">
      <alignment horizontal="center"/>
      <protection locked="0"/>
    </xf>
    <xf numFmtId="167" fontId="1" fillId="2" borderId="1" xfId="0" applyFont="1" applyFill="1" applyBorder="1" applyAlignment="1" applyProtection="1">
      <alignment/>
      <protection locked="0"/>
    </xf>
    <xf numFmtId="169" fontId="4" fillId="2" borderId="1" xfId="0" applyNumberFormat="1" applyFont="1" applyFill="1" applyBorder="1" applyAlignment="1" applyProtection="1">
      <alignment/>
      <protection locked="0"/>
    </xf>
    <xf numFmtId="168" fontId="4" fillId="2" borderId="1" xfId="0" applyNumberFormat="1" applyFont="1" applyFill="1" applyBorder="1" applyAlignment="1" applyProtection="1">
      <alignment/>
      <protection locked="0"/>
    </xf>
    <xf numFmtId="171" fontId="1" fillId="0" borderId="0" xfId="15" applyNumberFormat="1" applyFont="1" applyAlignment="1">
      <alignment horizontal="center"/>
    </xf>
    <xf numFmtId="171" fontId="1" fillId="0" borderId="0" xfId="15" applyNumberFormat="1" applyFont="1" applyAlignment="1" applyProtection="1">
      <alignment horizontal="center"/>
      <protection/>
    </xf>
    <xf numFmtId="171" fontId="1" fillId="0" borderId="0" xfId="15" applyNumberFormat="1" applyFont="1" applyAlignment="1">
      <alignment/>
    </xf>
    <xf numFmtId="171" fontId="1" fillId="3" borderId="2" xfId="15" applyNumberFormat="1" applyFont="1" applyFill="1" applyBorder="1" applyAlignment="1" applyProtection="1">
      <alignment horizontal="center"/>
      <protection/>
    </xf>
    <xf numFmtId="170" fontId="1" fillId="3" borderId="2" xfId="15" applyNumberFormat="1" applyFont="1" applyFill="1" applyBorder="1" applyAlignment="1" applyProtection="1">
      <alignment horizontal="center"/>
      <protection/>
    </xf>
    <xf numFmtId="43" fontId="1" fillId="3" borderId="2" xfId="15" applyFont="1" applyFill="1" applyBorder="1" applyAlignment="1" applyProtection="1">
      <alignment horizontal="center"/>
      <protection/>
    </xf>
    <xf numFmtId="9" fontId="1" fillId="3" borderId="2" xfId="21" applyFont="1" applyFill="1" applyBorder="1" applyAlignment="1" applyProtection="1">
      <alignment horizontal="center"/>
      <protection/>
    </xf>
    <xf numFmtId="171" fontId="1" fillId="3" borderId="2" xfId="21" applyNumberFormat="1" applyFont="1" applyFill="1" applyBorder="1" applyAlignment="1" applyProtection="1">
      <alignment horizontal="center"/>
      <protection/>
    </xf>
    <xf numFmtId="167" fontId="6" fillId="0" borderId="0" xfId="0" applyNumberFormat="1" applyFont="1" applyBorder="1" applyAlignment="1" applyProtection="1">
      <alignment horizontal="fill"/>
      <protection/>
    </xf>
    <xf numFmtId="168" fontId="6" fillId="0" borderId="0" xfId="0" applyNumberFormat="1" applyFont="1" applyBorder="1" applyAlignment="1" applyProtection="1">
      <alignment horizontal="fill"/>
      <protection/>
    </xf>
    <xf numFmtId="167" fontId="6" fillId="0" borderId="0" xfId="0" applyFont="1" applyBorder="1" applyAlignment="1">
      <alignment/>
    </xf>
    <xf numFmtId="167" fontId="7" fillId="0" borderId="0" xfId="0" applyNumberFormat="1" applyFont="1" applyAlignment="1" applyProtection="1">
      <alignment horizontal="left"/>
      <protection/>
    </xf>
    <xf numFmtId="167" fontId="7" fillId="0" borderId="0" xfId="0" applyFont="1" applyAlignment="1">
      <alignment horizontal="center"/>
    </xf>
    <xf numFmtId="167" fontId="7" fillId="0" borderId="0" xfId="0" applyNumberFormat="1" applyFont="1" applyAlignment="1" applyProtection="1">
      <alignment/>
      <protection/>
    </xf>
    <xf numFmtId="167" fontId="7" fillId="0" borderId="0" xfId="0" applyFont="1" applyAlignment="1">
      <alignment/>
    </xf>
    <xf numFmtId="167" fontId="7" fillId="0" borderId="0" xfId="0" applyNumberFormat="1" applyFont="1" applyAlignment="1" applyProtection="1">
      <alignment/>
      <protection/>
    </xf>
    <xf numFmtId="170" fontId="1" fillId="0" borderId="0" xfId="15" applyNumberFormat="1" applyFont="1" applyAlignment="1" applyProtection="1">
      <alignment horizontal="left"/>
      <protection/>
    </xf>
    <xf numFmtId="170" fontId="4" fillId="0" borderId="0" xfId="15" applyNumberFormat="1" applyFont="1" applyAlignment="1">
      <alignment horizontal="center"/>
    </xf>
    <xf numFmtId="170" fontId="4" fillId="0" borderId="0" xfId="15" applyNumberFormat="1" applyFont="1" applyAlignment="1" applyProtection="1">
      <alignment/>
      <protection/>
    </xf>
    <xf numFmtId="170" fontId="4" fillId="0" borderId="0" xfId="15" applyNumberFormat="1" applyFont="1" applyAlignment="1">
      <alignment/>
    </xf>
    <xf numFmtId="167" fontId="1" fillId="0" borderId="0" xfId="0" applyFont="1" applyAlignment="1">
      <alignment horizontal="left"/>
    </xf>
    <xf numFmtId="167" fontId="1" fillId="0" borderId="0" xfId="0" applyFont="1" applyAlignment="1">
      <alignment horizontal="left"/>
    </xf>
    <xf numFmtId="167" fontId="6" fillId="0" borderId="0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/>
      <protection/>
    </xf>
    <xf numFmtId="37" fontId="4" fillId="2" borderId="1" xfId="0" applyNumberFormat="1" applyFont="1" applyFill="1" applyBorder="1" applyAlignment="1" applyProtection="1">
      <alignment/>
      <protection locked="0"/>
    </xf>
    <xf numFmtId="173" fontId="1" fillId="2" borderId="1" xfId="0" applyNumberFormat="1" applyFont="1" applyFill="1" applyBorder="1" applyAlignment="1" applyProtection="1">
      <alignment horizontal="center"/>
      <protection locked="0"/>
    </xf>
    <xf numFmtId="167" fontId="11" fillId="0" borderId="0" xfId="0" applyFont="1" applyAlignment="1">
      <alignment/>
    </xf>
    <xf numFmtId="167" fontId="12" fillId="0" borderId="0" xfId="0" applyFont="1" applyAlignment="1">
      <alignment/>
    </xf>
    <xf numFmtId="167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33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3:E27"/>
  <sheetViews>
    <sheetView showGridLines="0" tabSelected="1" workbookViewId="0" topLeftCell="C1">
      <selection activeCell="J5" sqref="J5"/>
    </sheetView>
  </sheetViews>
  <sheetFormatPr defaultColWidth="8.875" defaultRowHeight="12.75"/>
  <cols>
    <col min="1" max="1" width="5.50390625" style="0" customWidth="1"/>
    <col min="2" max="3" width="6.125" style="0" customWidth="1"/>
  </cols>
  <sheetData>
    <row r="2" ht="5.25" customHeight="1"/>
    <row r="3" spans="4:5" ht="20.25" customHeight="1">
      <c r="D3" s="66"/>
      <c r="E3" s="66" t="s">
        <v>73</v>
      </c>
    </row>
    <row r="6" ht="15">
      <c r="A6" s="65" t="s">
        <v>74</v>
      </c>
    </row>
    <row r="7" s="67" customFormat="1" ht="15"/>
    <row r="8" s="67" customFormat="1" ht="15">
      <c r="A8" s="67" t="s">
        <v>75</v>
      </c>
    </row>
    <row r="9" s="67" customFormat="1" ht="15">
      <c r="B9" s="67" t="s">
        <v>76</v>
      </c>
    </row>
    <row r="10" s="67" customFormat="1" ht="15">
      <c r="B10" s="67" t="s">
        <v>77</v>
      </c>
    </row>
    <row r="11" s="67" customFormat="1" ht="15">
      <c r="B11" s="67" t="s">
        <v>82</v>
      </c>
    </row>
    <row r="12" s="67" customFormat="1" ht="15">
      <c r="A12" s="67" t="s">
        <v>78</v>
      </c>
    </row>
    <row r="13" s="67" customFormat="1" ht="15">
      <c r="A13" s="67" t="s">
        <v>79</v>
      </c>
    </row>
    <row r="14" s="67" customFormat="1" ht="15"/>
    <row r="15" s="67" customFormat="1" ht="15">
      <c r="A15" s="67" t="s">
        <v>6</v>
      </c>
    </row>
    <row r="16" s="67" customFormat="1" ht="15">
      <c r="A16" s="67" t="s">
        <v>7</v>
      </c>
    </row>
    <row r="17" s="67" customFormat="1" ht="15"/>
    <row r="18" s="67" customFormat="1" ht="15">
      <c r="A18" s="65" t="s">
        <v>80</v>
      </c>
    </row>
    <row r="19" s="67" customFormat="1" ht="15">
      <c r="B19" s="67" t="s">
        <v>81</v>
      </c>
    </row>
    <row r="20" s="67" customFormat="1" ht="15"/>
    <row r="21" s="67" customFormat="1" ht="15">
      <c r="B21" s="67" t="s">
        <v>0</v>
      </c>
    </row>
    <row r="22" s="67" customFormat="1" ht="15">
      <c r="C22" s="67" t="s">
        <v>1</v>
      </c>
    </row>
    <row r="23" s="67" customFormat="1" ht="15">
      <c r="C23" s="67" t="s">
        <v>5</v>
      </c>
    </row>
    <row r="24" s="67" customFormat="1" ht="15"/>
    <row r="25" s="67" customFormat="1" ht="15">
      <c r="B25" s="67" t="s">
        <v>2</v>
      </c>
    </row>
    <row r="26" s="67" customFormat="1" ht="15">
      <c r="C26" s="67" t="s">
        <v>3</v>
      </c>
    </row>
    <row r="27" s="67" customFormat="1" ht="15">
      <c r="C27" s="67" t="s">
        <v>4</v>
      </c>
    </row>
    <row r="28" s="67" customFormat="1" ht="15"/>
    <row r="29" s="67" customFormat="1" ht="15"/>
    <row r="30" s="67" customFormat="1" ht="15"/>
    <row r="31" s="67" customFormat="1" ht="15"/>
    <row r="32" s="67" customFormat="1" ht="15"/>
    <row r="33" s="67" customFormat="1" ht="15"/>
  </sheetData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transitionEvaluation="1" transitionEntry="1"/>
  <dimension ref="A1:Y83"/>
  <sheetViews>
    <sheetView showGridLines="0" zoomScale="75" zoomScaleNormal="75" workbookViewId="0" topLeftCell="A1">
      <selection activeCell="E12" sqref="E12"/>
    </sheetView>
  </sheetViews>
  <sheetFormatPr defaultColWidth="9.625" defaultRowHeight="12.75"/>
  <cols>
    <col min="1" max="1" width="18.625" style="5" customWidth="1"/>
    <col min="2" max="2" width="6.50390625" style="16" customWidth="1"/>
    <col min="3" max="10" width="8.625" style="1" customWidth="1"/>
    <col min="11" max="16384" width="9.625" style="1" customWidth="1"/>
  </cols>
  <sheetData>
    <row r="1" ht="21.75" customHeight="1">
      <c r="J1" s="59"/>
    </row>
    <row r="2" s="5" customFormat="1" ht="12">
      <c r="B2" s="15"/>
    </row>
    <row r="3" spans="7:25" s="5" customFormat="1" ht="12">
      <c r="G3" s="34"/>
      <c r="I3" s="54" t="s">
        <v>58</v>
      </c>
      <c r="J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2:5" s="5" customFormat="1" ht="12">
      <c r="B4" s="15"/>
      <c r="E4" s="6"/>
    </row>
    <row r="5" spans="1:16" s="5" customFormat="1" ht="12">
      <c r="A5" s="7" t="s">
        <v>8</v>
      </c>
      <c r="B5" s="64">
        <v>0.25</v>
      </c>
      <c r="C5" s="14"/>
      <c r="E5" s="7" t="s">
        <v>24</v>
      </c>
      <c r="F5" s="36">
        <v>0.125</v>
      </c>
      <c r="G5" s="14"/>
      <c r="I5" s="7" t="s">
        <v>25</v>
      </c>
      <c r="J5" s="36">
        <v>0.05</v>
      </c>
      <c r="L5" s="7" t="s">
        <v>9</v>
      </c>
      <c r="M5" s="36">
        <v>0</v>
      </c>
      <c r="O5" s="7" t="s">
        <v>10</v>
      </c>
      <c r="P5" s="36">
        <v>0.3848</v>
      </c>
    </row>
    <row r="6" spans="1:16" s="5" customFormat="1" ht="12">
      <c r="A6" s="7" t="s">
        <v>11</v>
      </c>
      <c r="B6" s="35">
        <v>0.15</v>
      </c>
      <c r="C6" s="14"/>
      <c r="E6" s="7"/>
      <c r="F6" s="14"/>
      <c r="G6" s="14"/>
      <c r="I6" s="7"/>
      <c r="J6" s="14"/>
      <c r="L6" s="7"/>
      <c r="M6" s="14"/>
      <c r="O6" s="7"/>
      <c r="P6" s="14"/>
    </row>
    <row r="7" ht="12">
      <c r="A7" s="59"/>
    </row>
    <row r="8" spans="1:20" s="53" customFormat="1" ht="12">
      <c r="A8" s="50" t="s">
        <v>12</v>
      </c>
      <c r="B8" s="51" t="s">
        <v>13</v>
      </c>
      <c r="C8" s="52">
        <v>2002</v>
      </c>
      <c r="D8" s="52">
        <f aca="true" t="shared" si="0" ref="D8:S8">C8+1</f>
        <v>2003</v>
      </c>
      <c r="E8" s="52">
        <f t="shared" si="0"/>
        <v>2004</v>
      </c>
      <c r="F8" s="52">
        <f t="shared" si="0"/>
        <v>2005</v>
      </c>
      <c r="G8" s="52">
        <f t="shared" si="0"/>
        <v>2006</v>
      </c>
      <c r="H8" s="52">
        <f t="shared" si="0"/>
        <v>2007</v>
      </c>
      <c r="I8" s="52">
        <f t="shared" si="0"/>
        <v>2008</v>
      </c>
      <c r="J8" s="52">
        <f t="shared" si="0"/>
        <v>2009</v>
      </c>
      <c r="K8" s="52">
        <f t="shared" si="0"/>
        <v>2010</v>
      </c>
      <c r="L8" s="52">
        <f t="shared" si="0"/>
        <v>2011</v>
      </c>
      <c r="M8" s="52">
        <f t="shared" si="0"/>
        <v>2012</v>
      </c>
      <c r="N8" s="52">
        <f t="shared" si="0"/>
        <v>2013</v>
      </c>
      <c r="O8" s="52">
        <f t="shared" si="0"/>
        <v>2014</v>
      </c>
      <c r="P8" s="52">
        <f t="shared" si="0"/>
        <v>2015</v>
      </c>
      <c r="Q8" s="52">
        <f t="shared" si="0"/>
        <v>2016</v>
      </c>
      <c r="R8" s="52">
        <f t="shared" si="0"/>
        <v>2017</v>
      </c>
      <c r="S8" s="52">
        <f t="shared" si="0"/>
        <v>2018</v>
      </c>
      <c r="T8" s="52" t="s">
        <v>14</v>
      </c>
    </row>
    <row r="9" ht="12">
      <c r="A9" s="59"/>
    </row>
    <row r="10" spans="1:20" ht="12">
      <c r="A10" s="6" t="s">
        <v>15</v>
      </c>
      <c r="C10" s="38">
        <v>0</v>
      </c>
      <c r="D10" s="38">
        <v>143</v>
      </c>
      <c r="E10" s="38">
        <v>104</v>
      </c>
      <c r="F10" s="38">
        <v>67.9</v>
      </c>
      <c r="G10" s="38">
        <v>44.4</v>
      </c>
      <c r="H10" s="38">
        <v>29</v>
      </c>
      <c r="I10" s="38">
        <v>11.7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2">
        <f>SUM(C10:S10)</f>
        <v>399.99999999999994</v>
      </c>
    </row>
    <row r="11" spans="1:20" ht="12">
      <c r="A11" s="6" t="s">
        <v>16</v>
      </c>
      <c r="C11" s="2">
        <f>C10*(1-$B$5)</f>
        <v>0</v>
      </c>
      <c r="D11" s="2">
        <f>D10*(1-$B$5)</f>
        <v>107.25</v>
      </c>
      <c r="E11" s="2">
        <f aca="true" t="shared" si="1" ref="E11:S11">E10*(1-$B$5)</f>
        <v>78</v>
      </c>
      <c r="F11" s="2">
        <f t="shared" si="1"/>
        <v>50.925000000000004</v>
      </c>
      <c r="G11" s="2">
        <f t="shared" si="1"/>
        <v>33.3</v>
      </c>
      <c r="H11" s="2">
        <f t="shared" si="1"/>
        <v>21.75</v>
      </c>
      <c r="I11" s="2">
        <f t="shared" si="1"/>
        <v>8.774999999999999</v>
      </c>
      <c r="J11" s="2">
        <f t="shared" si="1"/>
        <v>0</v>
      </c>
      <c r="K11" s="2">
        <f t="shared" si="1"/>
        <v>0</v>
      </c>
      <c r="L11" s="2">
        <f t="shared" si="1"/>
        <v>0</v>
      </c>
      <c r="M11" s="2">
        <f t="shared" si="1"/>
        <v>0</v>
      </c>
      <c r="N11" s="2">
        <f t="shared" si="1"/>
        <v>0</v>
      </c>
      <c r="O11" s="2">
        <f t="shared" si="1"/>
        <v>0</v>
      </c>
      <c r="P11" s="2">
        <f t="shared" si="1"/>
        <v>0</v>
      </c>
      <c r="Q11" s="2">
        <f t="shared" si="1"/>
        <v>0</v>
      </c>
      <c r="R11" s="2">
        <f t="shared" si="1"/>
        <v>0</v>
      </c>
      <c r="S11" s="2">
        <f t="shared" si="1"/>
        <v>0</v>
      </c>
      <c r="T11" s="2">
        <f aca="true" t="shared" si="2" ref="T11:T26">SUM(C11:S11)</f>
        <v>300</v>
      </c>
    </row>
    <row r="12" spans="1:20" ht="12">
      <c r="A12" s="60" t="s">
        <v>59</v>
      </c>
      <c r="C12" s="37">
        <v>0</v>
      </c>
      <c r="D12" s="37">
        <v>20</v>
      </c>
      <c r="E12" s="37">
        <v>20</v>
      </c>
      <c r="F12" s="37">
        <v>20</v>
      </c>
      <c r="G12" s="37">
        <v>20</v>
      </c>
      <c r="H12" s="37">
        <v>20</v>
      </c>
      <c r="I12" s="37">
        <v>20</v>
      </c>
      <c r="J12" s="37">
        <v>20</v>
      </c>
      <c r="K12" s="37">
        <v>20</v>
      </c>
      <c r="L12" s="37">
        <v>20</v>
      </c>
      <c r="M12" s="37">
        <v>20</v>
      </c>
      <c r="N12" s="37">
        <v>20</v>
      </c>
      <c r="O12" s="37">
        <v>20</v>
      </c>
      <c r="P12" s="37">
        <v>20</v>
      </c>
      <c r="Q12" s="37">
        <v>20</v>
      </c>
      <c r="R12" s="37">
        <v>20</v>
      </c>
      <c r="S12" s="37">
        <v>20</v>
      </c>
      <c r="T12" s="3">
        <f>T13/T11</f>
        <v>20</v>
      </c>
    </row>
    <row r="13" spans="1:20" s="9" customFormat="1" ht="12">
      <c r="A13" s="8" t="s">
        <v>17</v>
      </c>
      <c r="B13" s="17"/>
      <c r="C13" s="10">
        <f>C12*C11</f>
        <v>0</v>
      </c>
      <c r="D13" s="10">
        <f>D12*D11</f>
        <v>2145</v>
      </c>
      <c r="E13" s="10">
        <f aca="true" t="shared" si="3" ref="E13:R13">E12*E11</f>
        <v>1560</v>
      </c>
      <c r="F13" s="10">
        <f t="shared" si="3"/>
        <v>1018.5000000000001</v>
      </c>
      <c r="G13" s="10">
        <f t="shared" si="3"/>
        <v>666</v>
      </c>
      <c r="H13" s="10">
        <f t="shared" si="3"/>
        <v>435</v>
      </c>
      <c r="I13" s="10">
        <f t="shared" si="3"/>
        <v>175.49999999999997</v>
      </c>
      <c r="J13" s="10">
        <f t="shared" si="3"/>
        <v>0</v>
      </c>
      <c r="K13" s="10">
        <f t="shared" si="3"/>
        <v>0</v>
      </c>
      <c r="L13" s="10">
        <f t="shared" si="3"/>
        <v>0</v>
      </c>
      <c r="M13" s="10">
        <f t="shared" si="3"/>
        <v>0</v>
      </c>
      <c r="N13" s="10">
        <f t="shared" si="3"/>
        <v>0</v>
      </c>
      <c r="O13" s="10">
        <f t="shared" si="3"/>
        <v>0</v>
      </c>
      <c r="P13" s="10">
        <f t="shared" si="3"/>
        <v>0</v>
      </c>
      <c r="Q13" s="10">
        <f t="shared" si="3"/>
        <v>0</v>
      </c>
      <c r="R13" s="10">
        <f t="shared" si="3"/>
        <v>0</v>
      </c>
      <c r="S13" s="10">
        <f>S12*S11</f>
        <v>0</v>
      </c>
      <c r="T13" s="10">
        <f t="shared" si="2"/>
        <v>6000</v>
      </c>
    </row>
    <row r="14" spans="1:20" s="49" customFormat="1" ht="12">
      <c r="A14" s="61"/>
      <c r="B14" s="47" t="s">
        <v>18</v>
      </c>
      <c r="C14" s="47" t="s">
        <v>18</v>
      </c>
      <c r="D14" s="48" t="s">
        <v>18</v>
      </c>
      <c r="E14" s="48" t="s">
        <v>18</v>
      </c>
      <c r="F14" s="48" t="s">
        <v>18</v>
      </c>
      <c r="G14" s="48" t="s">
        <v>18</v>
      </c>
      <c r="H14" s="48" t="s">
        <v>18</v>
      </c>
      <c r="I14" s="48" t="s">
        <v>18</v>
      </c>
      <c r="J14" s="48" t="s">
        <v>18</v>
      </c>
      <c r="K14" s="48" t="s">
        <v>18</v>
      </c>
      <c r="L14" s="48" t="s">
        <v>18</v>
      </c>
      <c r="M14" s="48" t="s">
        <v>18</v>
      </c>
      <c r="N14" s="48" t="s">
        <v>18</v>
      </c>
      <c r="O14" s="48" t="s">
        <v>18</v>
      </c>
      <c r="P14" s="48" t="s">
        <v>18</v>
      </c>
      <c r="Q14" s="48" t="s">
        <v>18</v>
      </c>
      <c r="R14" s="48" t="s">
        <v>18</v>
      </c>
      <c r="S14" s="48" t="s">
        <v>18</v>
      </c>
      <c r="T14" s="48" t="s">
        <v>18</v>
      </c>
    </row>
    <row r="15" spans="1:20" ht="12">
      <c r="A15" s="6" t="s">
        <v>19</v>
      </c>
      <c r="C15" s="63">
        <v>0</v>
      </c>
      <c r="D15" s="63">
        <f>0.8*D10</f>
        <v>114.4</v>
      </c>
      <c r="E15" s="63">
        <f aca="true" t="shared" si="4" ref="E15:S15">0.8*E10</f>
        <v>83.2</v>
      </c>
      <c r="F15" s="63">
        <f t="shared" si="4"/>
        <v>54.32000000000001</v>
      </c>
      <c r="G15" s="63">
        <f t="shared" si="4"/>
        <v>35.52</v>
      </c>
      <c r="H15" s="63">
        <f t="shared" si="4"/>
        <v>23.200000000000003</v>
      </c>
      <c r="I15" s="63">
        <f t="shared" si="4"/>
        <v>9.36</v>
      </c>
      <c r="J15" s="63">
        <f t="shared" si="4"/>
        <v>0</v>
      </c>
      <c r="K15" s="63">
        <f t="shared" si="4"/>
        <v>0</v>
      </c>
      <c r="L15" s="63">
        <f t="shared" si="4"/>
        <v>0</v>
      </c>
      <c r="M15" s="63">
        <f t="shared" si="4"/>
        <v>0</v>
      </c>
      <c r="N15" s="63">
        <f t="shared" si="4"/>
        <v>0</v>
      </c>
      <c r="O15" s="63">
        <f t="shared" si="4"/>
        <v>0</v>
      </c>
      <c r="P15" s="63">
        <f t="shared" si="4"/>
        <v>0</v>
      </c>
      <c r="Q15" s="63">
        <f t="shared" si="4"/>
        <v>0</v>
      </c>
      <c r="R15" s="63">
        <f t="shared" si="4"/>
        <v>0</v>
      </c>
      <c r="S15" s="63">
        <f t="shared" si="4"/>
        <v>0</v>
      </c>
      <c r="T15" s="2">
        <f t="shared" si="2"/>
        <v>320</v>
      </c>
    </row>
    <row r="16" spans="1:20" ht="12">
      <c r="A16" s="6" t="s">
        <v>20</v>
      </c>
      <c r="C16" s="62">
        <f>C15*(1-$B$5)</f>
        <v>0</v>
      </c>
      <c r="D16" s="62">
        <f>D15*(1-$B$5)</f>
        <v>85.80000000000001</v>
      </c>
      <c r="E16" s="62">
        <f aca="true" t="shared" si="5" ref="E16:S16">E15*(1-$B$5)</f>
        <v>62.400000000000006</v>
      </c>
      <c r="F16" s="62">
        <f t="shared" si="5"/>
        <v>40.74000000000001</v>
      </c>
      <c r="G16" s="62">
        <f t="shared" si="5"/>
        <v>26.64</v>
      </c>
      <c r="H16" s="62">
        <f t="shared" si="5"/>
        <v>17.400000000000002</v>
      </c>
      <c r="I16" s="62">
        <f t="shared" si="5"/>
        <v>7.02</v>
      </c>
      <c r="J16" s="62">
        <f t="shared" si="5"/>
        <v>0</v>
      </c>
      <c r="K16" s="62">
        <f t="shared" si="5"/>
        <v>0</v>
      </c>
      <c r="L16" s="62">
        <f t="shared" si="5"/>
        <v>0</v>
      </c>
      <c r="M16" s="62">
        <f t="shared" si="5"/>
        <v>0</v>
      </c>
      <c r="N16" s="62">
        <f t="shared" si="5"/>
        <v>0</v>
      </c>
      <c r="O16" s="62">
        <f t="shared" si="5"/>
        <v>0</v>
      </c>
      <c r="P16" s="62">
        <f t="shared" si="5"/>
        <v>0</v>
      </c>
      <c r="Q16" s="62">
        <f t="shared" si="5"/>
        <v>0</v>
      </c>
      <c r="R16" s="62">
        <f t="shared" si="5"/>
        <v>0</v>
      </c>
      <c r="S16" s="62">
        <f t="shared" si="5"/>
        <v>0</v>
      </c>
      <c r="T16" s="2">
        <f t="shared" si="2"/>
        <v>240.00000000000006</v>
      </c>
    </row>
    <row r="17" spans="1:20" ht="12">
      <c r="A17" s="6" t="s">
        <v>21</v>
      </c>
      <c r="C17" s="37">
        <v>0</v>
      </c>
      <c r="D17" s="37">
        <v>2</v>
      </c>
      <c r="E17" s="37">
        <v>2</v>
      </c>
      <c r="F17" s="37">
        <v>2</v>
      </c>
      <c r="G17" s="37">
        <v>2</v>
      </c>
      <c r="H17" s="37">
        <v>2</v>
      </c>
      <c r="I17" s="37">
        <v>2</v>
      </c>
      <c r="J17" s="37">
        <v>2</v>
      </c>
      <c r="K17" s="37">
        <v>2</v>
      </c>
      <c r="L17" s="37">
        <v>2</v>
      </c>
      <c r="M17" s="37">
        <v>2</v>
      </c>
      <c r="N17" s="37">
        <v>2</v>
      </c>
      <c r="O17" s="37">
        <v>2</v>
      </c>
      <c r="P17" s="37">
        <v>2</v>
      </c>
      <c r="Q17" s="37">
        <v>2</v>
      </c>
      <c r="R17" s="37">
        <v>2</v>
      </c>
      <c r="S17" s="37">
        <v>2</v>
      </c>
      <c r="T17" s="3">
        <f>T18/T16</f>
        <v>2</v>
      </c>
    </row>
    <row r="18" spans="1:20" s="58" customFormat="1" ht="12">
      <c r="A18" s="55" t="s">
        <v>22</v>
      </c>
      <c r="B18" s="56"/>
      <c r="C18" s="57">
        <f>C17*C16</f>
        <v>0</v>
      </c>
      <c r="D18" s="62">
        <f>D17*D16</f>
        <v>171.60000000000002</v>
      </c>
      <c r="E18" s="62">
        <f aca="true" t="shared" si="6" ref="E18:R18">E17*E16</f>
        <v>124.80000000000001</v>
      </c>
      <c r="F18" s="62">
        <f t="shared" si="6"/>
        <v>81.48000000000002</v>
      </c>
      <c r="G18" s="62">
        <f t="shared" si="6"/>
        <v>53.28</v>
      </c>
      <c r="H18" s="62">
        <f t="shared" si="6"/>
        <v>34.800000000000004</v>
      </c>
      <c r="I18" s="62">
        <f t="shared" si="6"/>
        <v>14.04</v>
      </c>
      <c r="J18" s="57">
        <f t="shared" si="6"/>
        <v>0</v>
      </c>
      <c r="K18" s="57">
        <f t="shared" si="6"/>
        <v>0</v>
      </c>
      <c r="L18" s="57">
        <f t="shared" si="6"/>
        <v>0</v>
      </c>
      <c r="M18" s="57">
        <f t="shared" si="6"/>
        <v>0</v>
      </c>
      <c r="N18" s="57">
        <f t="shared" si="6"/>
        <v>0</v>
      </c>
      <c r="O18" s="57">
        <f t="shared" si="6"/>
        <v>0</v>
      </c>
      <c r="P18" s="57">
        <f t="shared" si="6"/>
        <v>0</v>
      </c>
      <c r="Q18" s="57">
        <f t="shared" si="6"/>
        <v>0</v>
      </c>
      <c r="R18" s="57">
        <f t="shared" si="6"/>
        <v>0</v>
      </c>
      <c r="S18" s="57">
        <f>S17*S16</f>
        <v>0</v>
      </c>
      <c r="T18" s="57">
        <f t="shared" si="2"/>
        <v>480.0000000000001</v>
      </c>
    </row>
    <row r="19" spans="1:20" s="49" customFormat="1" ht="6.75" customHeight="1">
      <c r="A19" s="61"/>
      <c r="B19" s="47" t="s">
        <v>18</v>
      </c>
      <c r="C19" s="47" t="s">
        <v>18</v>
      </c>
      <c r="D19" s="48" t="s">
        <v>18</v>
      </c>
      <c r="E19" s="48" t="s">
        <v>18</v>
      </c>
      <c r="F19" s="48" t="s">
        <v>18</v>
      </c>
      <c r="G19" s="48" t="s">
        <v>18</v>
      </c>
      <c r="H19" s="48" t="s">
        <v>18</v>
      </c>
      <c r="I19" s="48" t="s">
        <v>18</v>
      </c>
      <c r="J19" s="48" t="s">
        <v>18</v>
      </c>
      <c r="K19" s="48" t="s">
        <v>18</v>
      </c>
      <c r="L19" s="48" t="s">
        <v>18</v>
      </c>
      <c r="M19" s="48" t="s">
        <v>18</v>
      </c>
      <c r="N19" s="48" t="s">
        <v>18</v>
      </c>
      <c r="O19" s="48" t="s">
        <v>18</v>
      </c>
      <c r="P19" s="48" t="s">
        <v>18</v>
      </c>
      <c r="Q19" s="48" t="s">
        <v>18</v>
      </c>
      <c r="R19" s="48" t="s">
        <v>18</v>
      </c>
      <c r="S19" s="48" t="s">
        <v>18</v>
      </c>
      <c r="T19" s="48" t="s">
        <v>18</v>
      </c>
    </row>
    <row r="20" spans="1:20" s="9" customFormat="1" ht="12">
      <c r="A20" s="8" t="s">
        <v>23</v>
      </c>
      <c r="B20" s="17"/>
      <c r="C20" s="10">
        <f>C13+C18</f>
        <v>0</v>
      </c>
      <c r="D20" s="10">
        <f>D13+D18</f>
        <v>2316.6</v>
      </c>
      <c r="E20" s="10">
        <f aca="true" t="shared" si="7" ref="E20:R20">E13+E18</f>
        <v>1684.8</v>
      </c>
      <c r="F20" s="10">
        <f t="shared" si="7"/>
        <v>1099.98</v>
      </c>
      <c r="G20" s="10">
        <f t="shared" si="7"/>
        <v>719.28</v>
      </c>
      <c r="H20" s="10">
        <f t="shared" si="7"/>
        <v>469.8</v>
      </c>
      <c r="I20" s="10">
        <f t="shared" si="7"/>
        <v>189.53999999999996</v>
      </c>
      <c r="J20" s="10">
        <f t="shared" si="7"/>
        <v>0</v>
      </c>
      <c r="K20" s="10">
        <f t="shared" si="7"/>
        <v>0</v>
      </c>
      <c r="L20" s="10">
        <f t="shared" si="7"/>
        <v>0</v>
      </c>
      <c r="M20" s="10">
        <f t="shared" si="7"/>
        <v>0</v>
      </c>
      <c r="N20" s="10">
        <f t="shared" si="7"/>
        <v>0</v>
      </c>
      <c r="O20" s="10">
        <f t="shared" si="7"/>
        <v>0</v>
      </c>
      <c r="P20" s="10">
        <f t="shared" si="7"/>
        <v>0</v>
      </c>
      <c r="Q20" s="10">
        <f t="shared" si="7"/>
        <v>0</v>
      </c>
      <c r="R20" s="10">
        <f t="shared" si="7"/>
        <v>0</v>
      </c>
      <c r="S20" s="10">
        <f>S13+S18</f>
        <v>0</v>
      </c>
      <c r="T20" s="10">
        <f t="shared" si="2"/>
        <v>6479.999999999999</v>
      </c>
    </row>
    <row r="21" spans="1:20" s="49" customFormat="1" ht="6.75" customHeight="1">
      <c r="A21" s="61"/>
      <c r="B21" s="47" t="s">
        <v>18</v>
      </c>
      <c r="C21" s="47" t="s">
        <v>18</v>
      </c>
      <c r="D21" s="48" t="s">
        <v>18</v>
      </c>
      <c r="E21" s="48" t="s">
        <v>18</v>
      </c>
      <c r="F21" s="48" t="s">
        <v>18</v>
      </c>
      <c r="G21" s="48" t="s">
        <v>18</v>
      </c>
      <c r="H21" s="48" t="s">
        <v>18</v>
      </c>
      <c r="I21" s="48" t="s">
        <v>18</v>
      </c>
      <c r="J21" s="48" t="s">
        <v>18</v>
      </c>
      <c r="K21" s="48" t="s">
        <v>18</v>
      </c>
      <c r="L21" s="48" t="s">
        <v>18</v>
      </c>
      <c r="M21" s="48" t="s">
        <v>18</v>
      </c>
      <c r="N21" s="48" t="s">
        <v>18</v>
      </c>
      <c r="O21" s="48" t="s">
        <v>18</v>
      </c>
      <c r="P21" s="48" t="s">
        <v>18</v>
      </c>
      <c r="Q21" s="48" t="s">
        <v>18</v>
      </c>
      <c r="R21" s="48" t="s">
        <v>18</v>
      </c>
      <c r="S21" s="48" t="s">
        <v>18</v>
      </c>
      <c r="T21" s="48" t="s">
        <v>18</v>
      </c>
    </row>
    <row r="22" spans="1:20" s="13" customFormat="1" ht="12">
      <c r="A22" s="12" t="s">
        <v>24</v>
      </c>
      <c r="B22" s="18"/>
      <c r="C22" s="62">
        <f aca="true" t="shared" si="8" ref="C22:L22">C13*$F$5</f>
        <v>0</v>
      </c>
      <c r="D22" s="62">
        <f t="shared" si="8"/>
        <v>268.125</v>
      </c>
      <c r="E22" s="62">
        <f t="shared" si="8"/>
        <v>195</v>
      </c>
      <c r="F22" s="62">
        <f t="shared" si="8"/>
        <v>127.31250000000001</v>
      </c>
      <c r="G22" s="62">
        <f t="shared" si="8"/>
        <v>83.25</v>
      </c>
      <c r="H22" s="62">
        <f t="shared" si="8"/>
        <v>54.375</v>
      </c>
      <c r="I22" s="62">
        <f t="shared" si="8"/>
        <v>21.937499999999996</v>
      </c>
      <c r="J22" s="62">
        <f t="shared" si="8"/>
        <v>0</v>
      </c>
      <c r="K22" s="62">
        <f t="shared" si="8"/>
        <v>0</v>
      </c>
      <c r="L22" s="62">
        <f t="shared" si="8"/>
        <v>0</v>
      </c>
      <c r="M22" s="62">
        <f aca="true" t="shared" si="9" ref="M22:S22">M13*$F$5</f>
        <v>0</v>
      </c>
      <c r="N22" s="62">
        <f t="shared" si="9"/>
        <v>0</v>
      </c>
      <c r="O22" s="62">
        <f t="shared" si="9"/>
        <v>0</v>
      </c>
      <c r="P22" s="62">
        <f t="shared" si="9"/>
        <v>0</v>
      </c>
      <c r="Q22" s="62">
        <f t="shared" si="9"/>
        <v>0</v>
      </c>
      <c r="R22" s="62">
        <f t="shared" si="9"/>
        <v>0</v>
      </c>
      <c r="S22" s="62">
        <f t="shared" si="9"/>
        <v>0</v>
      </c>
      <c r="T22" s="62">
        <f t="shared" si="2"/>
        <v>750</v>
      </c>
    </row>
    <row r="23" spans="1:20" s="13" customFormat="1" ht="12">
      <c r="A23" s="12" t="s">
        <v>25</v>
      </c>
      <c r="B23" s="18"/>
      <c r="C23" s="62">
        <f aca="true" t="shared" si="10" ref="C23:L23">C18*$J$5</f>
        <v>0</v>
      </c>
      <c r="D23" s="62">
        <f t="shared" si="10"/>
        <v>8.580000000000002</v>
      </c>
      <c r="E23" s="62">
        <f t="shared" si="10"/>
        <v>6.240000000000001</v>
      </c>
      <c r="F23" s="62">
        <f t="shared" si="10"/>
        <v>4.074000000000001</v>
      </c>
      <c r="G23" s="62">
        <f t="shared" si="10"/>
        <v>2.664</v>
      </c>
      <c r="H23" s="62">
        <f t="shared" si="10"/>
        <v>1.7400000000000002</v>
      </c>
      <c r="I23" s="62">
        <f t="shared" si="10"/>
        <v>0.702</v>
      </c>
      <c r="J23" s="62">
        <f t="shared" si="10"/>
        <v>0</v>
      </c>
      <c r="K23" s="62">
        <f t="shared" si="10"/>
        <v>0</v>
      </c>
      <c r="L23" s="62">
        <f t="shared" si="10"/>
        <v>0</v>
      </c>
      <c r="M23" s="62">
        <f aca="true" t="shared" si="11" ref="M23:S23">M18*$J$5</f>
        <v>0</v>
      </c>
      <c r="N23" s="62">
        <f t="shared" si="11"/>
        <v>0</v>
      </c>
      <c r="O23" s="62">
        <f t="shared" si="11"/>
        <v>0</v>
      </c>
      <c r="P23" s="62">
        <f t="shared" si="11"/>
        <v>0</v>
      </c>
      <c r="Q23" s="62">
        <f t="shared" si="11"/>
        <v>0</v>
      </c>
      <c r="R23" s="62">
        <f t="shared" si="11"/>
        <v>0</v>
      </c>
      <c r="S23" s="62">
        <f t="shared" si="11"/>
        <v>0</v>
      </c>
      <c r="T23" s="62">
        <f t="shared" si="2"/>
        <v>24.000000000000007</v>
      </c>
    </row>
    <row r="24" spans="1:20" s="13" customFormat="1" ht="12">
      <c r="A24" s="12" t="s">
        <v>26</v>
      </c>
      <c r="B24" s="18"/>
      <c r="C24" s="62">
        <f aca="true" t="shared" si="12" ref="C24:L24">C20*$M$5</f>
        <v>0</v>
      </c>
      <c r="D24" s="62">
        <f t="shared" si="12"/>
        <v>0</v>
      </c>
      <c r="E24" s="62">
        <f t="shared" si="12"/>
        <v>0</v>
      </c>
      <c r="F24" s="62">
        <f t="shared" si="12"/>
        <v>0</v>
      </c>
      <c r="G24" s="62">
        <f t="shared" si="12"/>
        <v>0</v>
      </c>
      <c r="H24" s="62">
        <f t="shared" si="12"/>
        <v>0</v>
      </c>
      <c r="I24" s="62">
        <f t="shared" si="12"/>
        <v>0</v>
      </c>
      <c r="J24" s="62">
        <f t="shared" si="12"/>
        <v>0</v>
      </c>
      <c r="K24" s="62">
        <f t="shared" si="12"/>
        <v>0</v>
      </c>
      <c r="L24" s="62">
        <f t="shared" si="12"/>
        <v>0</v>
      </c>
      <c r="M24" s="62">
        <f aca="true" t="shared" si="13" ref="M24:S24">M20*$M$5</f>
        <v>0</v>
      </c>
      <c r="N24" s="62">
        <f t="shared" si="13"/>
        <v>0</v>
      </c>
      <c r="O24" s="62">
        <f t="shared" si="13"/>
        <v>0</v>
      </c>
      <c r="P24" s="62">
        <f t="shared" si="13"/>
        <v>0</v>
      </c>
      <c r="Q24" s="62">
        <f t="shared" si="13"/>
        <v>0</v>
      </c>
      <c r="R24" s="62">
        <f t="shared" si="13"/>
        <v>0</v>
      </c>
      <c r="S24" s="62">
        <f t="shared" si="13"/>
        <v>0</v>
      </c>
      <c r="T24" s="62">
        <f t="shared" si="2"/>
        <v>0</v>
      </c>
    </row>
    <row r="25" spans="1:20" s="13" customFormat="1" ht="12">
      <c r="A25" s="12" t="s">
        <v>60</v>
      </c>
      <c r="B25" s="18"/>
      <c r="C25" s="63"/>
      <c r="D25" s="63">
        <v>264</v>
      </c>
      <c r="E25" s="63">
        <v>264</v>
      </c>
      <c r="F25" s="63">
        <v>264</v>
      </c>
      <c r="G25" s="63">
        <v>264</v>
      </c>
      <c r="H25" s="63">
        <v>264</v>
      </c>
      <c r="I25" s="63">
        <v>150.4</v>
      </c>
      <c r="J25" s="63">
        <f>IF(J20=0,0,IF(J8&lt;#REF!,0,#REF!*(1+#REF!)^(J8-#REF!)))</f>
        <v>0</v>
      </c>
      <c r="K25" s="63">
        <f>IF(K20=0,0,IF(K8&lt;#REF!,0,#REF!*(1+#REF!)^(K8-#REF!)))</f>
        <v>0</v>
      </c>
      <c r="L25" s="63">
        <f>IF(L20=0,0,IF(L8&lt;#REF!,0,#REF!*(1+#REF!)^(L8-#REF!)))</f>
        <v>0</v>
      </c>
      <c r="M25" s="63">
        <f>IF(M20=0,0,IF(M8&lt;#REF!,0,#REF!*(1+#REF!)^(M8-#REF!)))</f>
        <v>0</v>
      </c>
      <c r="N25" s="63">
        <f>IF(N20=0,0,IF(N8&lt;#REF!,0,#REF!*(1+#REF!)^(N8-#REF!)))</f>
        <v>0</v>
      </c>
      <c r="O25" s="63">
        <f>IF(O20=0,0,IF(O8&lt;#REF!,0,#REF!*(1+#REF!)^(O8-#REF!)))</f>
        <v>0</v>
      </c>
      <c r="P25" s="63">
        <f>IF(P20=0,0,IF(P8&lt;#REF!,0,#REF!*(1+#REF!)^(P8-#REF!)))</f>
        <v>0</v>
      </c>
      <c r="Q25" s="63">
        <f>IF(Q20=0,0,IF(Q8&lt;#REF!,0,#REF!*(1+#REF!)^(Q8-#REF!)))</f>
        <v>0</v>
      </c>
      <c r="R25" s="63">
        <f>IF(R20=0,0,IF(R8&lt;#REF!,0,#REF!*(1+#REF!)^(R8-#REF!)))</f>
        <v>0</v>
      </c>
      <c r="S25" s="63">
        <f>IF(S20=0,0,IF(S8&lt;#REF!,0,#REF!*(1+#REF!)^(S8-#REF!)))</f>
        <v>0</v>
      </c>
      <c r="T25" s="62">
        <f t="shared" si="2"/>
        <v>1470.4</v>
      </c>
    </row>
    <row r="26" spans="1:20" s="13" customFormat="1" ht="12">
      <c r="A26" s="12" t="s">
        <v>61</v>
      </c>
      <c r="B26" s="18"/>
      <c r="C26" s="63"/>
      <c r="D26" s="63"/>
      <c r="E26" s="63"/>
      <c r="F26" s="63"/>
      <c r="G26" s="63"/>
      <c r="H26" s="63"/>
      <c r="I26" s="63">
        <v>100</v>
      </c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2">
        <f t="shared" si="2"/>
        <v>100</v>
      </c>
    </row>
    <row r="27" spans="1:20" s="49" customFormat="1" ht="6.75" customHeight="1">
      <c r="A27" s="61"/>
      <c r="B27" s="47" t="s">
        <v>18</v>
      </c>
      <c r="C27" s="47" t="s">
        <v>18</v>
      </c>
      <c r="D27" s="48" t="s">
        <v>18</v>
      </c>
      <c r="E27" s="48" t="s">
        <v>18</v>
      </c>
      <c r="F27" s="48" t="s">
        <v>18</v>
      </c>
      <c r="G27" s="48" t="s">
        <v>18</v>
      </c>
      <c r="H27" s="48" t="s">
        <v>18</v>
      </c>
      <c r="I27" s="48" t="s">
        <v>18</v>
      </c>
      <c r="J27" s="48" t="s">
        <v>18</v>
      </c>
      <c r="K27" s="48" t="s">
        <v>18</v>
      </c>
      <c r="L27" s="48" t="s">
        <v>18</v>
      </c>
      <c r="M27" s="48" t="s">
        <v>18</v>
      </c>
      <c r="N27" s="48" t="s">
        <v>18</v>
      </c>
      <c r="O27" s="48" t="s">
        <v>18</v>
      </c>
      <c r="P27" s="48" t="s">
        <v>18</v>
      </c>
      <c r="Q27" s="48" t="s">
        <v>18</v>
      </c>
      <c r="R27" s="48" t="s">
        <v>18</v>
      </c>
      <c r="S27" s="48" t="s">
        <v>18</v>
      </c>
      <c r="T27" s="62" t="s">
        <v>18</v>
      </c>
    </row>
    <row r="28" spans="1:20" s="13" customFormat="1" ht="12">
      <c r="A28" s="12" t="s">
        <v>62</v>
      </c>
      <c r="B28" s="18"/>
      <c r="C28" s="62">
        <f>C20-C22-C23-C24-C25-C26</f>
        <v>0</v>
      </c>
      <c r="D28" s="62">
        <f>D20-D22-D23-D24-D25-D26</f>
        <v>1775.895</v>
      </c>
      <c r="E28" s="62">
        <f aca="true" t="shared" si="14" ref="E28:R28">E20-E22-E23-E24-E25-E26</f>
        <v>1219.56</v>
      </c>
      <c r="F28" s="62">
        <f t="shared" si="14"/>
        <v>704.5935000000001</v>
      </c>
      <c r="G28" s="62">
        <f t="shared" si="14"/>
        <v>369.366</v>
      </c>
      <c r="H28" s="62">
        <f t="shared" si="14"/>
        <v>149.685</v>
      </c>
      <c r="I28" s="62">
        <f t="shared" si="14"/>
        <v>-83.49950000000004</v>
      </c>
      <c r="J28" s="62">
        <f t="shared" si="14"/>
        <v>0</v>
      </c>
      <c r="K28" s="62">
        <f t="shared" si="14"/>
        <v>0</v>
      </c>
      <c r="L28" s="62">
        <f t="shared" si="14"/>
        <v>0</v>
      </c>
      <c r="M28" s="62">
        <f t="shared" si="14"/>
        <v>0</v>
      </c>
      <c r="N28" s="62">
        <f t="shared" si="14"/>
        <v>0</v>
      </c>
      <c r="O28" s="62">
        <f t="shared" si="14"/>
        <v>0</v>
      </c>
      <c r="P28" s="62">
        <f t="shared" si="14"/>
        <v>0</v>
      </c>
      <c r="Q28" s="62">
        <f t="shared" si="14"/>
        <v>0</v>
      </c>
      <c r="R28" s="62">
        <f t="shared" si="14"/>
        <v>0</v>
      </c>
      <c r="S28" s="62">
        <f>S20-S22-S23-S24-S25-S26</f>
        <v>0</v>
      </c>
      <c r="T28" s="62">
        <f aca="true" t="shared" si="15" ref="T28:T37">SUM(C28:S28)</f>
        <v>4135.6</v>
      </c>
    </row>
    <row r="29" spans="1:20" s="13" customFormat="1" ht="12">
      <c r="A29" s="12" t="s">
        <v>63</v>
      </c>
      <c r="B29" s="63">
        <v>0</v>
      </c>
      <c r="C29" s="63">
        <v>100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2">
        <f t="shared" si="15"/>
        <v>100</v>
      </c>
    </row>
    <row r="30" spans="1:20" s="13" customFormat="1" ht="12">
      <c r="A30" s="12" t="s">
        <v>64</v>
      </c>
      <c r="B30" s="63">
        <v>1</v>
      </c>
      <c r="C30" s="63">
        <v>160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2">
        <f t="shared" si="15"/>
        <v>160</v>
      </c>
    </row>
    <row r="31" spans="1:20" s="13" customFormat="1" ht="12">
      <c r="A31" s="12" t="s">
        <v>65</v>
      </c>
      <c r="B31" s="63">
        <v>1</v>
      </c>
      <c r="C31" s="63">
        <v>340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2">
        <f t="shared" si="15"/>
        <v>340</v>
      </c>
    </row>
    <row r="32" spans="1:20" s="13" customFormat="1" ht="12">
      <c r="A32" s="12" t="s">
        <v>66</v>
      </c>
      <c r="B32" s="63">
        <v>1</v>
      </c>
      <c r="C32" s="63">
        <v>0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2">
        <f t="shared" si="15"/>
        <v>0</v>
      </c>
    </row>
    <row r="33" spans="1:20" s="49" customFormat="1" ht="6.75" customHeight="1">
      <c r="A33" s="61"/>
      <c r="B33" s="47" t="s">
        <v>18</v>
      </c>
      <c r="C33" s="47" t="s">
        <v>18</v>
      </c>
      <c r="D33" s="48" t="s">
        <v>18</v>
      </c>
      <c r="E33" s="48" t="s">
        <v>18</v>
      </c>
      <c r="F33" s="48" t="s">
        <v>18</v>
      </c>
      <c r="G33" s="48" t="s">
        <v>18</v>
      </c>
      <c r="H33" s="48" t="s">
        <v>18</v>
      </c>
      <c r="I33" s="48" t="s">
        <v>18</v>
      </c>
      <c r="J33" s="48" t="s">
        <v>18</v>
      </c>
      <c r="K33" s="48" t="s">
        <v>18</v>
      </c>
      <c r="L33" s="48" t="s">
        <v>18</v>
      </c>
      <c r="M33" s="48" t="s">
        <v>18</v>
      </c>
      <c r="N33" s="48" t="s">
        <v>18</v>
      </c>
      <c r="O33" s="48" t="s">
        <v>18</v>
      </c>
      <c r="P33" s="48" t="s">
        <v>18</v>
      </c>
      <c r="Q33" s="48" t="s">
        <v>18</v>
      </c>
      <c r="R33" s="48" t="s">
        <v>18</v>
      </c>
      <c r="S33" s="48" t="s">
        <v>18</v>
      </c>
      <c r="T33" s="62" t="s">
        <v>18</v>
      </c>
    </row>
    <row r="34" spans="1:20" s="13" customFormat="1" ht="12">
      <c r="A34" s="12" t="s">
        <v>27</v>
      </c>
      <c r="B34" s="18"/>
      <c r="C34" s="62">
        <f>C28-C29-C30-C31-C32</f>
        <v>-600</v>
      </c>
      <c r="D34" s="62">
        <f>D28-D29-D30-D31-D32</f>
        <v>1775.895</v>
      </c>
      <c r="E34" s="62">
        <f aca="true" t="shared" si="16" ref="E34:R34">E28-E29-E30-E31-E32</f>
        <v>1219.56</v>
      </c>
      <c r="F34" s="62">
        <f t="shared" si="16"/>
        <v>704.5935000000001</v>
      </c>
      <c r="G34" s="62">
        <f t="shared" si="16"/>
        <v>369.366</v>
      </c>
      <c r="H34" s="62">
        <f t="shared" si="16"/>
        <v>149.685</v>
      </c>
      <c r="I34" s="62">
        <f t="shared" si="16"/>
        <v>-83.49950000000004</v>
      </c>
      <c r="J34" s="62">
        <f t="shared" si="16"/>
        <v>0</v>
      </c>
      <c r="K34" s="62">
        <f t="shared" si="16"/>
        <v>0</v>
      </c>
      <c r="L34" s="62">
        <f t="shared" si="16"/>
        <v>0</v>
      </c>
      <c r="M34" s="62">
        <f t="shared" si="16"/>
        <v>0</v>
      </c>
      <c r="N34" s="62">
        <f t="shared" si="16"/>
        <v>0</v>
      </c>
      <c r="O34" s="62">
        <f t="shared" si="16"/>
        <v>0</v>
      </c>
      <c r="P34" s="62">
        <f t="shared" si="16"/>
        <v>0</v>
      </c>
      <c r="Q34" s="62">
        <f t="shared" si="16"/>
        <v>0</v>
      </c>
      <c r="R34" s="62">
        <f t="shared" si="16"/>
        <v>0</v>
      </c>
      <c r="S34" s="62">
        <f>S28-S29-S30-S31-S32</f>
        <v>0</v>
      </c>
      <c r="T34" s="62">
        <f t="shared" si="15"/>
        <v>3535.6</v>
      </c>
    </row>
    <row r="35" spans="1:20" s="13" customFormat="1" ht="12">
      <c r="A35" s="12" t="s">
        <v>67</v>
      </c>
      <c r="B35" s="18"/>
      <c r="C35" s="62">
        <f aca="true" t="shared" si="17" ref="C35:S35">C61</f>
        <v>-104.29927039999997</v>
      </c>
      <c r="D35" s="62">
        <f t="shared" si="17"/>
        <v>646.6798727999999</v>
      </c>
      <c r="E35" s="62">
        <f t="shared" si="17"/>
        <v>440.66372479999995</v>
      </c>
      <c r="F35" s="62">
        <f t="shared" si="17"/>
        <v>249.0558356</v>
      </c>
      <c r="G35" s="62">
        <f t="shared" si="17"/>
        <v>124.51281439999998</v>
      </c>
      <c r="H35" s="62">
        <f t="shared" si="17"/>
        <v>45.38600559999999</v>
      </c>
      <c r="I35" s="62">
        <f t="shared" si="17"/>
        <v>-41.5001028</v>
      </c>
      <c r="J35" s="62">
        <f t="shared" si="17"/>
        <v>0</v>
      </c>
      <c r="K35" s="62">
        <f t="shared" si="17"/>
        <v>0</v>
      </c>
      <c r="L35" s="62">
        <f t="shared" si="17"/>
        <v>0</v>
      </c>
      <c r="M35" s="62">
        <f t="shared" si="17"/>
        <v>0</v>
      </c>
      <c r="N35" s="62">
        <f t="shared" si="17"/>
        <v>0</v>
      </c>
      <c r="O35" s="62">
        <f t="shared" si="17"/>
        <v>0</v>
      </c>
      <c r="P35" s="62">
        <f t="shared" si="17"/>
        <v>0</v>
      </c>
      <c r="Q35" s="62">
        <f t="shared" si="17"/>
        <v>0</v>
      </c>
      <c r="R35" s="62">
        <f t="shared" si="17"/>
        <v>0</v>
      </c>
      <c r="S35" s="62">
        <f t="shared" si="17"/>
        <v>0</v>
      </c>
      <c r="T35" s="62">
        <f t="shared" si="15"/>
        <v>1360.49888</v>
      </c>
    </row>
    <row r="36" spans="1:20" s="49" customFormat="1" ht="6.75" customHeight="1">
      <c r="A36" s="61"/>
      <c r="B36" s="47" t="s">
        <v>18</v>
      </c>
      <c r="C36" s="47" t="s">
        <v>18</v>
      </c>
      <c r="D36" s="48" t="s">
        <v>18</v>
      </c>
      <c r="E36" s="48" t="s">
        <v>18</v>
      </c>
      <c r="F36" s="48" t="s">
        <v>18</v>
      </c>
      <c r="G36" s="48" t="s">
        <v>18</v>
      </c>
      <c r="H36" s="48" t="s">
        <v>18</v>
      </c>
      <c r="I36" s="48" t="s">
        <v>18</v>
      </c>
      <c r="J36" s="48" t="s">
        <v>18</v>
      </c>
      <c r="K36" s="48" t="s">
        <v>18</v>
      </c>
      <c r="L36" s="48" t="s">
        <v>18</v>
      </c>
      <c r="M36" s="48" t="s">
        <v>18</v>
      </c>
      <c r="N36" s="48" t="s">
        <v>18</v>
      </c>
      <c r="O36" s="48" t="s">
        <v>18</v>
      </c>
      <c r="P36" s="48" t="s">
        <v>18</v>
      </c>
      <c r="Q36" s="48" t="s">
        <v>18</v>
      </c>
      <c r="R36" s="48" t="s">
        <v>18</v>
      </c>
      <c r="S36" s="48" t="s">
        <v>18</v>
      </c>
      <c r="T36" s="62" t="s">
        <v>18</v>
      </c>
    </row>
    <row r="37" spans="1:20" s="13" customFormat="1" ht="12">
      <c r="A37" s="12" t="s">
        <v>68</v>
      </c>
      <c r="B37" s="18"/>
      <c r="C37" s="62">
        <f>C34-C35</f>
        <v>-495.70072960000005</v>
      </c>
      <c r="D37" s="62">
        <f>D34-D35</f>
        <v>1129.2151272</v>
      </c>
      <c r="E37" s="62">
        <f aca="true" t="shared" si="18" ref="E37:R37">E34-E35</f>
        <v>778.8962752</v>
      </c>
      <c r="F37" s="62">
        <f t="shared" si="18"/>
        <v>455.53766440000004</v>
      </c>
      <c r="G37" s="62">
        <f t="shared" si="18"/>
        <v>244.85318560000002</v>
      </c>
      <c r="H37" s="62">
        <f t="shared" si="18"/>
        <v>104.29899440000001</v>
      </c>
      <c r="I37" s="62">
        <f t="shared" si="18"/>
        <v>-41.99939720000004</v>
      </c>
      <c r="J37" s="62">
        <f t="shared" si="18"/>
        <v>0</v>
      </c>
      <c r="K37" s="62">
        <f t="shared" si="18"/>
        <v>0</v>
      </c>
      <c r="L37" s="62">
        <f t="shared" si="18"/>
        <v>0</v>
      </c>
      <c r="M37" s="62">
        <f t="shared" si="18"/>
        <v>0</v>
      </c>
      <c r="N37" s="62">
        <f t="shared" si="18"/>
        <v>0</v>
      </c>
      <c r="O37" s="62">
        <f t="shared" si="18"/>
        <v>0</v>
      </c>
      <c r="P37" s="62">
        <f t="shared" si="18"/>
        <v>0</v>
      </c>
      <c r="Q37" s="62">
        <f t="shared" si="18"/>
        <v>0</v>
      </c>
      <c r="R37" s="62">
        <f t="shared" si="18"/>
        <v>0</v>
      </c>
      <c r="S37" s="62">
        <f>S34-S35</f>
        <v>0</v>
      </c>
      <c r="T37" s="62">
        <f t="shared" si="15"/>
        <v>2175.1011200000003</v>
      </c>
    </row>
    <row r="38" spans="1:20" s="49" customFormat="1" ht="6.75" customHeight="1">
      <c r="A38" s="61"/>
      <c r="B38" s="47" t="s">
        <v>18</v>
      </c>
      <c r="C38" s="47" t="s">
        <v>18</v>
      </c>
      <c r="D38" s="48" t="s">
        <v>18</v>
      </c>
      <c r="E38" s="48" t="s">
        <v>18</v>
      </c>
      <c r="F38" s="48" t="s">
        <v>18</v>
      </c>
      <c r="G38" s="48" t="s">
        <v>18</v>
      </c>
      <c r="H38" s="48" t="s">
        <v>18</v>
      </c>
      <c r="I38" s="48" t="s">
        <v>18</v>
      </c>
      <c r="J38" s="48" t="s">
        <v>18</v>
      </c>
      <c r="K38" s="48" t="s">
        <v>18</v>
      </c>
      <c r="L38" s="48" t="s">
        <v>18</v>
      </c>
      <c r="M38" s="48" t="s">
        <v>18</v>
      </c>
      <c r="N38" s="48" t="s">
        <v>18</v>
      </c>
      <c r="O38" s="48" t="s">
        <v>18</v>
      </c>
      <c r="P38" s="48" t="s">
        <v>18</v>
      </c>
      <c r="Q38" s="48" t="s">
        <v>18</v>
      </c>
      <c r="R38" s="48" t="s">
        <v>18</v>
      </c>
      <c r="S38" s="48" t="s">
        <v>18</v>
      </c>
      <c r="T38" s="62" t="s">
        <v>18</v>
      </c>
    </row>
    <row r="39" spans="1:20" s="22" customFormat="1" ht="12">
      <c r="A39" s="19" t="s">
        <v>69</v>
      </c>
      <c r="B39" s="20"/>
      <c r="C39" s="21">
        <f>C37+B39</f>
        <v>-495.70072960000005</v>
      </c>
      <c r="D39" s="21">
        <f>D37+C39</f>
        <v>633.5143976</v>
      </c>
      <c r="E39" s="21">
        <f aca="true" t="shared" si="19" ref="E39:R39">E37+D39</f>
        <v>1412.4106728000002</v>
      </c>
      <c r="F39" s="21">
        <f t="shared" si="19"/>
        <v>1867.9483372000002</v>
      </c>
      <c r="G39" s="21">
        <f t="shared" si="19"/>
        <v>2112.8015228000004</v>
      </c>
      <c r="H39" s="21">
        <f t="shared" si="19"/>
        <v>2217.1005172000005</v>
      </c>
      <c r="I39" s="21">
        <f t="shared" si="19"/>
        <v>2175.1011200000003</v>
      </c>
      <c r="J39" s="21">
        <f t="shared" si="19"/>
        <v>2175.1011200000003</v>
      </c>
      <c r="K39" s="21">
        <f t="shared" si="19"/>
        <v>2175.1011200000003</v>
      </c>
      <c r="L39" s="21">
        <f t="shared" si="19"/>
        <v>2175.1011200000003</v>
      </c>
      <c r="M39" s="21">
        <f t="shared" si="19"/>
        <v>2175.1011200000003</v>
      </c>
      <c r="N39" s="21">
        <f t="shared" si="19"/>
        <v>2175.1011200000003</v>
      </c>
      <c r="O39" s="21">
        <f t="shared" si="19"/>
        <v>2175.1011200000003</v>
      </c>
      <c r="P39" s="21">
        <f t="shared" si="19"/>
        <v>2175.1011200000003</v>
      </c>
      <c r="Q39" s="21">
        <f t="shared" si="19"/>
        <v>2175.1011200000003</v>
      </c>
      <c r="R39" s="21">
        <f t="shared" si="19"/>
        <v>2175.1011200000003</v>
      </c>
      <c r="S39" s="21">
        <f>S37+R39</f>
        <v>2175.1011200000003</v>
      </c>
      <c r="T39" s="62"/>
    </row>
    <row r="40" spans="1:20" s="49" customFormat="1" ht="6.75" customHeight="1">
      <c r="A40" s="61"/>
      <c r="B40" s="47" t="s">
        <v>18</v>
      </c>
      <c r="C40" s="47" t="s">
        <v>18</v>
      </c>
      <c r="D40" s="48" t="s">
        <v>18</v>
      </c>
      <c r="E40" s="48" t="s">
        <v>18</v>
      </c>
      <c r="F40" s="48" t="s">
        <v>18</v>
      </c>
      <c r="G40" s="48" t="s">
        <v>18</v>
      </c>
      <c r="H40" s="48" t="s">
        <v>18</v>
      </c>
      <c r="I40" s="48" t="s">
        <v>18</v>
      </c>
      <c r="J40" s="48" t="s">
        <v>18</v>
      </c>
      <c r="K40" s="48" t="s">
        <v>18</v>
      </c>
      <c r="L40" s="48" t="s">
        <v>18</v>
      </c>
      <c r="M40" s="48" t="s">
        <v>18</v>
      </c>
      <c r="N40" s="48" t="s">
        <v>18</v>
      </c>
      <c r="O40" s="48" t="s">
        <v>18</v>
      </c>
      <c r="P40" s="48" t="s">
        <v>18</v>
      </c>
      <c r="Q40" s="48" t="s">
        <v>18</v>
      </c>
      <c r="R40" s="48" t="s">
        <v>18</v>
      </c>
      <c r="S40" s="48" t="s">
        <v>18</v>
      </c>
      <c r="T40" s="48" t="s">
        <v>18</v>
      </c>
    </row>
    <row r="41" spans="1:24" s="5" customFormat="1" ht="12">
      <c r="A41" s="6" t="s">
        <v>29</v>
      </c>
      <c r="B41" s="15"/>
      <c r="C41" s="25" t="s">
        <v>30</v>
      </c>
      <c r="D41" s="25"/>
      <c r="E41" s="25" t="s">
        <v>28</v>
      </c>
      <c r="F41" s="25"/>
      <c r="G41" s="25" t="s">
        <v>31</v>
      </c>
      <c r="H41" s="25"/>
      <c r="I41" s="25" t="s">
        <v>56</v>
      </c>
      <c r="J41" s="25"/>
      <c r="K41" s="25" t="s">
        <v>57</v>
      </c>
      <c r="L41" s="25"/>
      <c r="M41" s="23" t="s">
        <v>32</v>
      </c>
      <c r="N41" s="15"/>
      <c r="O41" s="25" t="s">
        <v>70</v>
      </c>
      <c r="P41" s="25" t="s">
        <v>33</v>
      </c>
      <c r="Q41" s="25" t="s">
        <v>33</v>
      </c>
      <c r="R41" s="25" t="s">
        <v>33</v>
      </c>
      <c r="S41" s="25" t="s">
        <v>33</v>
      </c>
      <c r="T41" s="25" t="s">
        <v>33</v>
      </c>
      <c r="U41" s="24" t="s">
        <v>33</v>
      </c>
      <c r="V41" s="24" t="s">
        <v>33</v>
      </c>
      <c r="W41" s="24" t="s">
        <v>33</v>
      </c>
      <c r="X41" s="24" t="s">
        <v>33</v>
      </c>
    </row>
    <row r="42" spans="1:20" s="41" customFormat="1" ht="12">
      <c r="A42" s="8" t="s">
        <v>34</v>
      </c>
      <c r="B42" s="39"/>
      <c r="C42" s="42">
        <f>T29+T30+T31+T32</f>
        <v>600</v>
      </c>
      <c r="D42" s="40"/>
      <c r="E42" s="42">
        <f>SUM(C37:S37)</f>
        <v>2175.1011200000003</v>
      </c>
      <c r="F42" s="40"/>
      <c r="G42" s="43">
        <f>T82</f>
        <v>1.438978116445469</v>
      </c>
      <c r="H42" s="40"/>
      <c r="I42" s="44">
        <f>E42/C42</f>
        <v>3.625168533333334</v>
      </c>
      <c r="J42" s="40"/>
      <c r="K42" s="45">
        <f>IRR(C37:S37,0.3)</f>
        <v>1.9405182468912623</v>
      </c>
      <c r="L42" s="40"/>
      <c r="M42" s="46">
        <f>T81</f>
        <v>1437.1404609899853</v>
      </c>
      <c r="N42" s="40" t="s">
        <v>33</v>
      </c>
      <c r="O42" s="44">
        <f>M42/ABS(SUM(T76:T79))</f>
        <v>2.5379856236072227</v>
      </c>
      <c r="S42" s="41" t="s">
        <v>33</v>
      </c>
      <c r="T42" s="30" t="s">
        <v>33</v>
      </c>
    </row>
    <row r="43" spans="1:20" s="49" customFormat="1" ht="6.75" customHeight="1">
      <c r="A43" s="47" t="s">
        <v>18</v>
      </c>
      <c r="B43" s="47" t="s">
        <v>18</v>
      </c>
      <c r="C43" s="47" t="s">
        <v>18</v>
      </c>
      <c r="D43" s="48" t="s">
        <v>18</v>
      </c>
      <c r="E43" s="48" t="s">
        <v>18</v>
      </c>
      <c r="F43" s="48" t="s">
        <v>18</v>
      </c>
      <c r="G43" s="48" t="s">
        <v>18</v>
      </c>
      <c r="H43" s="48" t="s">
        <v>18</v>
      </c>
      <c r="I43" s="48" t="s">
        <v>18</v>
      </c>
      <c r="J43" s="48" t="s">
        <v>18</v>
      </c>
      <c r="K43" s="48" t="s">
        <v>18</v>
      </c>
      <c r="L43" s="48" t="s">
        <v>18</v>
      </c>
      <c r="M43" s="48" t="s">
        <v>18</v>
      </c>
      <c r="N43" s="48" t="s">
        <v>18</v>
      </c>
      <c r="O43" s="48" t="s">
        <v>18</v>
      </c>
      <c r="P43" s="48" t="s">
        <v>18</v>
      </c>
      <c r="Q43" s="48" t="s">
        <v>18</v>
      </c>
      <c r="R43" s="48" t="s">
        <v>18</v>
      </c>
      <c r="S43" s="48" t="s">
        <v>18</v>
      </c>
      <c r="T43" s="48" t="s">
        <v>18</v>
      </c>
    </row>
    <row r="44" spans="1:21" ht="12">
      <c r="A44" s="6" t="s">
        <v>35</v>
      </c>
      <c r="B44"/>
      <c r="C44"/>
      <c r="D44"/>
      <c r="E44"/>
      <c r="F44"/>
      <c r="G44"/>
      <c r="H44"/>
      <c r="I44"/>
      <c r="J44"/>
      <c r="K44" s="4"/>
      <c r="U44" s="2"/>
    </row>
    <row r="45" spans="2:21" ht="12">
      <c r="B45"/>
      <c r="C45"/>
      <c r="D45"/>
      <c r="E45"/>
      <c r="F45"/>
      <c r="G45"/>
      <c r="H45" s="2"/>
      <c r="I45" s="2"/>
      <c r="J45" s="2"/>
      <c r="K45" s="2"/>
      <c r="U45" s="2"/>
    </row>
    <row r="46" spans="2:21" s="5" customFormat="1" ht="12">
      <c r="B46" s="15"/>
      <c r="I46" s="50" t="s">
        <v>36</v>
      </c>
      <c r="U46" s="11"/>
    </row>
    <row r="47" ht="12">
      <c r="U47" s="2"/>
    </row>
    <row r="48" spans="1:20" s="53" customFormat="1" ht="12">
      <c r="A48" s="50" t="s">
        <v>12</v>
      </c>
      <c r="B48" s="51"/>
      <c r="C48" s="52">
        <v>2002</v>
      </c>
      <c r="D48" s="52">
        <f aca="true" t="shared" si="20" ref="D48:S48">C48+1</f>
        <v>2003</v>
      </c>
      <c r="E48" s="52">
        <f t="shared" si="20"/>
        <v>2004</v>
      </c>
      <c r="F48" s="52">
        <f t="shared" si="20"/>
        <v>2005</v>
      </c>
      <c r="G48" s="52">
        <f t="shared" si="20"/>
        <v>2006</v>
      </c>
      <c r="H48" s="52">
        <f t="shared" si="20"/>
        <v>2007</v>
      </c>
      <c r="I48" s="52">
        <f t="shared" si="20"/>
        <v>2008</v>
      </c>
      <c r="J48" s="52">
        <f t="shared" si="20"/>
        <v>2009</v>
      </c>
      <c r="K48" s="52">
        <f t="shared" si="20"/>
        <v>2010</v>
      </c>
      <c r="L48" s="52">
        <f t="shared" si="20"/>
        <v>2011</v>
      </c>
      <c r="M48" s="52">
        <f t="shared" si="20"/>
        <v>2012</v>
      </c>
      <c r="N48" s="52">
        <f t="shared" si="20"/>
        <v>2013</v>
      </c>
      <c r="O48" s="52">
        <f t="shared" si="20"/>
        <v>2014</v>
      </c>
      <c r="P48" s="52">
        <f t="shared" si="20"/>
        <v>2015</v>
      </c>
      <c r="Q48" s="52">
        <f t="shared" si="20"/>
        <v>2016</v>
      </c>
      <c r="R48" s="52">
        <f t="shared" si="20"/>
        <v>2017</v>
      </c>
      <c r="S48" s="52">
        <f t="shared" si="20"/>
        <v>2018</v>
      </c>
      <c r="T48" s="52" t="s">
        <v>14</v>
      </c>
    </row>
    <row r="49" spans="3:21" ht="12">
      <c r="C49" s="2"/>
      <c r="D49" s="2"/>
      <c r="E49" s="2"/>
      <c r="F49" s="2"/>
      <c r="G49" s="2"/>
      <c r="H49" s="2"/>
      <c r="I49" s="2"/>
      <c r="J49" s="2"/>
      <c r="U49" s="2"/>
    </row>
    <row r="50" spans="1:21" ht="12">
      <c r="A50" s="6" t="s">
        <v>37</v>
      </c>
      <c r="C50" s="10">
        <f aca="true" t="shared" si="21" ref="C50:S50">C28</f>
        <v>0</v>
      </c>
      <c r="D50" s="10">
        <f t="shared" si="21"/>
        <v>1775.895</v>
      </c>
      <c r="E50" s="10">
        <f t="shared" si="21"/>
        <v>1219.56</v>
      </c>
      <c r="F50" s="10">
        <f t="shared" si="21"/>
        <v>704.5935000000001</v>
      </c>
      <c r="G50" s="10">
        <f t="shared" si="21"/>
        <v>369.366</v>
      </c>
      <c r="H50" s="10">
        <f t="shared" si="21"/>
        <v>149.685</v>
      </c>
      <c r="I50" s="10">
        <f t="shared" si="21"/>
        <v>-83.49950000000004</v>
      </c>
      <c r="J50" s="10">
        <f t="shared" si="21"/>
        <v>0</v>
      </c>
      <c r="K50" s="10">
        <f t="shared" si="21"/>
        <v>0</v>
      </c>
      <c r="L50" s="10">
        <f t="shared" si="21"/>
        <v>0</v>
      </c>
      <c r="M50" s="10">
        <f t="shared" si="21"/>
        <v>0</v>
      </c>
      <c r="N50" s="10">
        <f t="shared" si="21"/>
        <v>0</v>
      </c>
      <c r="O50" s="10">
        <f t="shared" si="21"/>
        <v>0</v>
      </c>
      <c r="P50" s="10">
        <f t="shared" si="21"/>
        <v>0</v>
      </c>
      <c r="Q50" s="10">
        <f t="shared" si="21"/>
        <v>0</v>
      </c>
      <c r="R50" s="10">
        <f t="shared" si="21"/>
        <v>0</v>
      </c>
      <c r="S50" s="10">
        <f t="shared" si="21"/>
        <v>0</v>
      </c>
      <c r="T50" s="10">
        <f aca="true" t="shared" si="22" ref="T50:T57">SUM(C50:S50)</f>
        <v>4135.6</v>
      </c>
      <c r="U50" s="2"/>
    </row>
    <row r="51" spans="1:21" ht="12">
      <c r="A51" s="6" t="s">
        <v>38</v>
      </c>
      <c r="C51" s="10">
        <f aca="true" t="shared" si="23" ref="C51:S51">C73</f>
        <v>0</v>
      </c>
      <c r="D51" s="10">
        <f t="shared" si="23"/>
        <v>35.75</v>
      </c>
      <c r="E51" s="10">
        <f t="shared" si="23"/>
        <v>26</v>
      </c>
      <c r="F51" s="10">
        <f t="shared" si="23"/>
        <v>16.975</v>
      </c>
      <c r="G51" s="10">
        <f t="shared" si="23"/>
        <v>11.1</v>
      </c>
      <c r="H51" s="10">
        <f t="shared" si="23"/>
        <v>7.249999999999999</v>
      </c>
      <c r="I51" s="10">
        <f t="shared" si="23"/>
        <v>2.925</v>
      </c>
      <c r="J51" s="10">
        <f t="shared" si="23"/>
        <v>0</v>
      </c>
      <c r="K51" s="10">
        <f t="shared" si="23"/>
        <v>0</v>
      </c>
      <c r="L51" s="10">
        <f t="shared" si="23"/>
        <v>0</v>
      </c>
      <c r="M51" s="10">
        <f t="shared" si="23"/>
        <v>0</v>
      </c>
      <c r="N51" s="10">
        <f t="shared" si="23"/>
        <v>0</v>
      </c>
      <c r="O51" s="10">
        <f t="shared" si="23"/>
        <v>0</v>
      </c>
      <c r="P51" s="10">
        <f t="shared" si="23"/>
        <v>0</v>
      </c>
      <c r="Q51" s="10">
        <f t="shared" si="23"/>
        <v>0</v>
      </c>
      <c r="R51" s="10">
        <f t="shared" si="23"/>
        <v>0</v>
      </c>
      <c r="S51" s="10">
        <f t="shared" si="23"/>
        <v>0</v>
      </c>
      <c r="T51" s="10">
        <f t="shared" si="22"/>
        <v>99.99999999999999</v>
      </c>
      <c r="U51" s="2"/>
    </row>
    <row r="52" spans="1:20" ht="12">
      <c r="A52" s="6" t="s">
        <v>71</v>
      </c>
      <c r="C52" s="10">
        <f>0.1428*$C$30</f>
        <v>22.848000000000003</v>
      </c>
      <c r="D52" s="10">
        <f>IF(D10=0,0,0.2449*$C$30)</f>
        <v>39.184</v>
      </c>
      <c r="E52" s="10">
        <f>IF(E10=0,0,0.1749*$C$30)</f>
        <v>27.984</v>
      </c>
      <c r="F52" s="10">
        <f>IF(F10=0,0,0.1249*$C$30)</f>
        <v>19.983999999999998</v>
      </c>
      <c r="G52" s="10">
        <f>IF(G10=0,0,0.0893*$C$30)</f>
        <v>14.288</v>
      </c>
      <c r="H52" s="10">
        <f>IF(H10=0,0,0.0893*$C$30)</f>
        <v>14.288</v>
      </c>
      <c r="I52" s="10">
        <f aca="true" t="shared" si="24" ref="I52:S52">IF(I10=0,0,0.0893*$C$30)</f>
        <v>14.288</v>
      </c>
      <c r="J52" s="10">
        <f t="shared" si="24"/>
        <v>0</v>
      </c>
      <c r="K52" s="10">
        <f t="shared" si="24"/>
        <v>0</v>
      </c>
      <c r="L52" s="10">
        <f t="shared" si="24"/>
        <v>0</v>
      </c>
      <c r="M52" s="10">
        <f t="shared" si="24"/>
        <v>0</v>
      </c>
      <c r="N52" s="10">
        <f t="shared" si="24"/>
        <v>0</v>
      </c>
      <c r="O52" s="10">
        <f t="shared" si="24"/>
        <v>0</v>
      </c>
      <c r="P52" s="10">
        <f t="shared" si="24"/>
        <v>0</v>
      </c>
      <c r="Q52" s="10">
        <f t="shared" si="24"/>
        <v>0</v>
      </c>
      <c r="R52" s="10">
        <f t="shared" si="24"/>
        <v>0</v>
      </c>
      <c r="S52" s="10">
        <f t="shared" si="24"/>
        <v>0</v>
      </c>
      <c r="T52" s="10">
        <f t="shared" si="22"/>
        <v>152.864</v>
      </c>
    </row>
    <row r="53" spans="1:20" ht="12">
      <c r="A53" s="6" t="s">
        <v>71</v>
      </c>
      <c r="C53" s="10">
        <f>IF(D10=0,$C$30-$T$52,0)</f>
        <v>0</v>
      </c>
      <c r="D53" s="10">
        <f>IF(E10=0,$C$30-$T$52,0)</f>
        <v>0</v>
      </c>
      <c r="E53" s="10">
        <f>IF(SUM($C53:D53)=0,IF(F10=0,$C$30-$T$52,0),0)</f>
        <v>0</v>
      </c>
      <c r="F53" s="10">
        <f>IF(SUM($C53:E53)=0,IF(G10=0,$C$30-$T$52,0),0)</f>
        <v>0</v>
      </c>
      <c r="G53" s="10">
        <f>IF(SUM($C53:F53)=0,IF(H10=0,$C$30-$T$52,0),0)</f>
        <v>0</v>
      </c>
      <c r="H53" s="10">
        <f>IF(SUM($C53:G53)=0,IF(I10=0,$C$30-$T$52,0),0)</f>
        <v>0</v>
      </c>
      <c r="I53" s="10">
        <f>IF(SUM($C53:H53)=0,IF(J10=0,$C$30-$T$52,0),0)</f>
        <v>7.135999999999996</v>
      </c>
      <c r="J53" s="10">
        <f>IF(SUM($C53:I53)=0,IF(K10=0,$C$30-$T$52,0),0)</f>
        <v>0</v>
      </c>
      <c r="K53" s="10">
        <f>IF(SUM($C53:J53)=0,IF(L10=0,$C$30-$T$52,0),0)</f>
        <v>0</v>
      </c>
      <c r="L53" s="10">
        <f>IF(SUM($C53:K53)=0,IF(M10=0,$C$30-$T$52,0),0)</f>
        <v>0</v>
      </c>
      <c r="M53" s="10">
        <f>IF(SUM($C53:L53)=0,IF(N10=0,$C$30-$T$52,0),0)</f>
        <v>0</v>
      </c>
      <c r="N53" s="10">
        <f>IF(SUM($C53:M53)=0,IF(O10=0,$C$30-$T$52,0),0)</f>
        <v>0</v>
      </c>
      <c r="O53" s="10">
        <f>IF(SUM($C53:N53)=0,IF(P10=0,$C$30-$T$52,0),0)</f>
        <v>0</v>
      </c>
      <c r="P53" s="10">
        <f>IF(SUM($C53:O53)=0,IF(Q10=0,$C$30-$T$52,0),0)</f>
        <v>0</v>
      </c>
      <c r="Q53" s="10">
        <f>IF(SUM($C53:P53)=0,IF(R10=0,$C$30-$T$52,0),0)</f>
        <v>0</v>
      </c>
      <c r="R53" s="10">
        <f>IF(SUM($C53:Q53)=0,IF(S10=0,$C$30-$T$52,0),0)</f>
        <v>0</v>
      </c>
      <c r="S53" s="10">
        <f>IF(SUM($C53:R53)=0,IF(T10=0,$C$30-$T$52,0),0)</f>
        <v>0</v>
      </c>
      <c r="T53" s="10">
        <f t="shared" si="22"/>
        <v>7.135999999999996</v>
      </c>
    </row>
    <row r="54" spans="1:20" ht="12">
      <c r="A54" s="6" t="s">
        <v>39</v>
      </c>
      <c r="C54" s="10">
        <f>C31*0.7</f>
        <v>237.99999999999997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f t="shared" si="22"/>
        <v>237.99999999999997</v>
      </c>
    </row>
    <row r="55" spans="1:20" ht="12">
      <c r="A55" s="6" t="s">
        <v>40</v>
      </c>
      <c r="C55" s="10">
        <f>IF($B$31=1,(+$C$31*0.3/5)/2,(+$C$31*0.3/5))</f>
        <v>10.2</v>
      </c>
      <c r="D55" s="10">
        <f>$C$31*0.3/5</f>
        <v>20.4</v>
      </c>
      <c r="E55" s="10">
        <f>IF(E10=0,0,+$C$31*0.3/5)</f>
        <v>20.4</v>
      </c>
      <c r="F55" s="10">
        <f>IF(F10=0,0,+$C$31*0.3/5)</f>
        <v>20.4</v>
      </c>
      <c r="G55" s="10">
        <f>IF(G10=0,0,+$C$31*0.3/5)</f>
        <v>20.4</v>
      </c>
      <c r="H55" s="10">
        <f>IF(H10=0,0,IF($B$31=1,(+$C$31*0.3/5)/2,0))</f>
        <v>10.2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f t="shared" si="22"/>
        <v>102.00000000000001</v>
      </c>
    </row>
    <row r="56" spans="1:20" ht="12">
      <c r="A56" s="6" t="s">
        <v>40</v>
      </c>
      <c r="C56" s="10"/>
      <c r="D56" s="10">
        <f>IF(E10=0,($C$31*0.3)-$T$55,0)</f>
        <v>0</v>
      </c>
      <c r="E56" s="10">
        <f>IF(F10=0,($C$31*0.3)-$T$55,0)</f>
        <v>0</v>
      </c>
      <c r="F56" s="10">
        <f>IF(G10=0,($C$31*0.3)-$T$55,0)</f>
        <v>0</v>
      </c>
      <c r="G56" s="10">
        <f>IF(H10=0,($C$31*0.3)-$T$55,0)</f>
        <v>0</v>
      </c>
      <c r="H56" s="10">
        <f>IF(SUM($C56:G56)=0,IF(I10=0,($C$31*0.3)-$T$55,0),0)</f>
        <v>0</v>
      </c>
      <c r="I56" s="10">
        <f>IF(SUM($C56:H56)=0,IF(J10=0,($C$31*0.3)-$T$55,0),0)</f>
        <v>-1.4210854715202004E-14</v>
      </c>
      <c r="J56" s="10">
        <f>IF(SUM($C56:I56)=0,IF(K10=0,($C$31*0.3)-$K$55,0),0)</f>
        <v>0</v>
      </c>
      <c r="K56" s="10">
        <f>IF(SUM($C56:J56)=0,IF(L10=0,($C$31*0.3)-$K$55,0),0)</f>
        <v>0</v>
      </c>
      <c r="L56" s="10">
        <f>IF(SUM($C56:K56)=0,IF(M10=0,($C$31*0.3)-$K$55,0),0)</f>
        <v>0</v>
      </c>
      <c r="M56" s="10">
        <f>IF(SUM($C56:L56)=0,IF(T10=0,($C$31*0.3)-$K$55,0),0)</f>
        <v>0</v>
      </c>
      <c r="N56" s="10">
        <f>IF(SUM($C56:M56)=0,IF(U10=0,($C$31*0.3)-$K$55,0),0)</f>
        <v>0</v>
      </c>
      <c r="O56" s="10">
        <f>IF(SUM($C56:N56)=0,IF(V10=0,($C$31*0.3)-$K$55,0),0)</f>
        <v>0</v>
      </c>
      <c r="P56" s="10">
        <f>IF(SUM($C56:O56)=0,IF(W10=0,($C$31*0.3)-$K$55,0),0)</f>
        <v>0</v>
      </c>
      <c r="Q56" s="10">
        <f>IF(SUM($C56:P56)=0,IF(X10=0,($C$31*0.3)-$K$55,0),0)</f>
        <v>0</v>
      </c>
      <c r="R56" s="10">
        <f>IF(SUM($C56:Q56)=0,IF(Y10=0,($C$31*0.3)-$K$55,0),0)</f>
        <v>0</v>
      </c>
      <c r="S56" s="10">
        <f>IF(SUM($C56:R56)=0,IF(Z10=0,($C$31*0.3)-$K$55,0),0)</f>
        <v>0</v>
      </c>
      <c r="T56" s="10">
        <f t="shared" si="22"/>
        <v>-1.4210854715202004E-14</v>
      </c>
    </row>
    <row r="57" spans="1:20" ht="12">
      <c r="A57" s="6" t="s">
        <v>41</v>
      </c>
      <c r="C57" s="10">
        <f aca="true" t="shared" si="25" ref="C57:S57">C32</f>
        <v>0</v>
      </c>
      <c r="D57" s="10">
        <f t="shared" si="25"/>
        <v>0</v>
      </c>
      <c r="E57" s="10">
        <f t="shared" si="25"/>
        <v>0</v>
      </c>
      <c r="F57" s="10">
        <f t="shared" si="25"/>
        <v>0</v>
      </c>
      <c r="G57" s="10">
        <f t="shared" si="25"/>
        <v>0</v>
      </c>
      <c r="H57" s="10">
        <f t="shared" si="25"/>
        <v>0</v>
      </c>
      <c r="I57" s="10">
        <f t="shared" si="25"/>
        <v>0</v>
      </c>
      <c r="J57" s="10">
        <f t="shared" si="25"/>
        <v>0</v>
      </c>
      <c r="K57" s="10">
        <f t="shared" si="25"/>
        <v>0</v>
      </c>
      <c r="L57" s="10">
        <f t="shared" si="25"/>
        <v>0</v>
      </c>
      <c r="M57" s="10">
        <f t="shared" si="25"/>
        <v>0</v>
      </c>
      <c r="N57" s="10">
        <f t="shared" si="25"/>
        <v>0</v>
      </c>
      <c r="O57" s="10">
        <f t="shared" si="25"/>
        <v>0</v>
      </c>
      <c r="P57" s="10">
        <f t="shared" si="25"/>
        <v>0</v>
      </c>
      <c r="Q57" s="10">
        <f t="shared" si="25"/>
        <v>0</v>
      </c>
      <c r="R57" s="10">
        <f t="shared" si="25"/>
        <v>0</v>
      </c>
      <c r="S57" s="10">
        <f t="shared" si="25"/>
        <v>0</v>
      </c>
      <c r="T57" s="10">
        <f t="shared" si="22"/>
        <v>0</v>
      </c>
    </row>
    <row r="58" spans="1:20" s="49" customFormat="1" ht="6.75" customHeight="1">
      <c r="A58" s="47" t="s">
        <v>18</v>
      </c>
      <c r="B58" s="47" t="s">
        <v>18</v>
      </c>
      <c r="C58" s="47" t="s">
        <v>18</v>
      </c>
      <c r="D58" s="48" t="s">
        <v>18</v>
      </c>
      <c r="E58" s="48" t="s">
        <v>18</v>
      </c>
      <c r="F58" s="48" t="s">
        <v>18</v>
      </c>
      <c r="G58" s="48" t="s">
        <v>18</v>
      </c>
      <c r="H58" s="48" t="s">
        <v>18</v>
      </c>
      <c r="I58" s="48" t="s">
        <v>18</v>
      </c>
      <c r="J58" s="48" t="s">
        <v>18</v>
      </c>
      <c r="K58" s="48" t="s">
        <v>18</v>
      </c>
      <c r="L58" s="48" t="s">
        <v>18</v>
      </c>
      <c r="M58" s="48" t="s">
        <v>18</v>
      </c>
      <c r="N58" s="48" t="s">
        <v>18</v>
      </c>
      <c r="O58" s="48" t="s">
        <v>18</v>
      </c>
      <c r="P58" s="48" t="s">
        <v>18</v>
      </c>
      <c r="Q58" s="48" t="s">
        <v>18</v>
      </c>
      <c r="R58" s="48" t="s">
        <v>18</v>
      </c>
      <c r="S58" s="48" t="s">
        <v>18</v>
      </c>
      <c r="T58" s="48" t="s">
        <v>18</v>
      </c>
    </row>
    <row r="59" spans="1:20" s="22" customFormat="1" ht="12">
      <c r="A59" s="19" t="s">
        <v>42</v>
      </c>
      <c r="B59" s="20"/>
      <c r="C59" s="21">
        <f>C50-C51-C52-C53-C54-C55-C56-C57</f>
        <v>-271.04799999999994</v>
      </c>
      <c r="D59" s="21">
        <f>D50-D51-D52-D53-D54-D55-D56-D57</f>
        <v>1680.561</v>
      </c>
      <c r="E59" s="21">
        <f aca="true" t="shared" si="26" ref="E59:R59">E50-E51-E52-E53-E54-E55-E56-E57</f>
        <v>1145.176</v>
      </c>
      <c r="F59" s="21">
        <f t="shared" si="26"/>
        <v>647.2345</v>
      </c>
      <c r="G59" s="21">
        <f t="shared" si="26"/>
        <v>323.578</v>
      </c>
      <c r="H59" s="21">
        <f t="shared" si="26"/>
        <v>117.94699999999999</v>
      </c>
      <c r="I59" s="21">
        <f t="shared" si="26"/>
        <v>-107.84850000000002</v>
      </c>
      <c r="J59" s="21">
        <f t="shared" si="26"/>
        <v>0</v>
      </c>
      <c r="K59" s="21">
        <f t="shared" si="26"/>
        <v>0</v>
      </c>
      <c r="L59" s="21">
        <f t="shared" si="26"/>
        <v>0</v>
      </c>
      <c r="M59" s="21">
        <f t="shared" si="26"/>
        <v>0</v>
      </c>
      <c r="N59" s="21">
        <f t="shared" si="26"/>
        <v>0</v>
      </c>
      <c r="O59" s="21">
        <f t="shared" si="26"/>
        <v>0</v>
      </c>
      <c r="P59" s="21">
        <f t="shared" si="26"/>
        <v>0</v>
      </c>
      <c r="Q59" s="21">
        <f t="shared" si="26"/>
        <v>0</v>
      </c>
      <c r="R59" s="21">
        <f t="shared" si="26"/>
        <v>0</v>
      </c>
      <c r="S59" s="21">
        <f>S50-S51-S52-S53-S54-S55-S56-S57</f>
        <v>0</v>
      </c>
      <c r="T59" s="22">
        <f>SUM(C59:S59)</f>
        <v>3535.6</v>
      </c>
    </row>
    <row r="60" spans="1:20" s="49" customFormat="1" ht="6.75" customHeight="1">
      <c r="A60" s="47" t="s">
        <v>18</v>
      </c>
      <c r="B60" s="47" t="s">
        <v>18</v>
      </c>
      <c r="C60" s="47" t="s">
        <v>18</v>
      </c>
      <c r="D60" s="48" t="s">
        <v>18</v>
      </c>
      <c r="E60" s="48" t="s">
        <v>18</v>
      </c>
      <c r="F60" s="48" t="s">
        <v>18</v>
      </c>
      <c r="G60" s="48" t="s">
        <v>18</v>
      </c>
      <c r="H60" s="48" t="s">
        <v>18</v>
      </c>
      <c r="I60" s="48" t="s">
        <v>18</v>
      </c>
      <c r="J60" s="48" t="s">
        <v>18</v>
      </c>
      <c r="K60" s="48" t="s">
        <v>18</v>
      </c>
      <c r="L60" s="48" t="s">
        <v>18</v>
      </c>
      <c r="M60" s="48" t="s">
        <v>18</v>
      </c>
      <c r="N60" s="48" t="s">
        <v>18</v>
      </c>
      <c r="O60" s="48" t="s">
        <v>18</v>
      </c>
      <c r="P60" s="48" t="s">
        <v>18</v>
      </c>
      <c r="Q60" s="48" t="s">
        <v>18</v>
      </c>
      <c r="R60" s="48" t="s">
        <v>18</v>
      </c>
      <c r="S60" s="48" t="s">
        <v>18</v>
      </c>
      <c r="T60" s="48" t="s">
        <v>18</v>
      </c>
    </row>
    <row r="61" spans="1:20" s="22" customFormat="1" ht="12">
      <c r="A61" s="19" t="s">
        <v>72</v>
      </c>
      <c r="B61" s="20"/>
      <c r="C61" s="21">
        <f aca="true" t="shared" si="27" ref="C61:L61">C59*$P$5</f>
        <v>-104.29927039999997</v>
      </c>
      <c r="D61" s="21">
        <f t="shared" si="27"/>
        <v>646.6798727999999</v>
      </c>
      <c r="E61" s="21">
        <f t="shared" si="27"/>
        <v>440.66372479999995</v>
      </c>
      <c r="F61" s="21">
        <f t="shared" si="27"/>
        <v>249.0558356</v>
      </c>
      <c r="G61" s="21">
        <f t="shared" si="27"/>
        <v>124.51281439999998</v>
      </c>
      <c r="H61" s="21">
        <f t="shared" si="27"/>
        <v>45.38600559999999</v>
      </c>
      <c r="I61" s="21">
        <f t="shared" si="27"/>
        <v>-41.5001028</v>
      </c>
      <c r="J61" s="21">
        <f t="shared" si="27"/>
        <v>0</v>
      </c>
      <c r="K61" s="21">
        <f t="shared" si="27"/>
        <v>0</v>
      </c>
      <c r="L61" s="21">
        <f t="shared" si="27"/>
        <v>0</v>
      </c>
      <c r="M61" s="21">
        <f aca="true" t="shared" si="28" ref="M61:S61">M59*$P$5</f>
        <v>0</v>
      </c>
      <c r="N61" s="21">
        <f t="shared" si="28"/>
        <v>0</v>
      </c>
      <c r="O61" s="21">
        <f t="shared" si="28"/>
        <v>0</v>
      </c>
      <c r="P61" s="21">
        <f t="shared" si="28"/>
        <v>0</v>
      </c>
      <c r="Q61" s="21">
        <f t="shared" si="28"/>
        <v>0</v>
      </c>
      <c r="R61" s="21">
        <f t="shared" si="28"/>
        <v>0</v>
      </c>
      <c r="S61" s="21">
        <f t="shared" si="28"/>
        <v>0</v>
      </c>
      <c r="T61" s="22">
        <f>SUM(C61:S61)</f>
        <v>1360.49888</v>
      </c>
    </row>
    <row r="62" spans="1:20" s="49" customFormat="1" ht="6.75" customHeight="1">
      <c r="A62" s="47" t="s">
        <v>18</v>
      </c>
      <c r="B62" s="47" t="s">
        <v>18</v>
      </c>
      <c r="C62" s="47" t="s">
        <v>18</v>
      </c>
      <c r="D62" s="48" t="s">
        <v>18</v>
      </c>
      <c r="E62" s="48" t="s">
        <v>18</v>
      </c>
      <c r="F62" s="48" t="s">
        <v>18</v>
      </c>
      <c r="G62" s="48" t="s">
        <v>18</v>
      </c>
      <c r="H62" s="48" t="s">
        <v>18</v>
      </c>
      <c r="I62" s="48" t="s">
        <v>18</v>
      </c>
      <c r="J62" s="48" t="s">
        <v>18</v>
      </c>
      <c r="K62" s="48" t="s">
        <v>18</v>
      </c>
      <c r="L62" s="48" t="s">
        <v>18</v>
      </c>
      <c r="M62" s="48" t="s">
        <v>18</v>
      </c>
      <c r="N62" s="48" t="s">
        <v>18</v>
      </c>
      <c r="O62" s="48" t="s">
        <v>18</v>
      </c>
      <c r="P62" s="48" t="s">
        <v>18</v>
      </c>
      <c r="Q62" s="48" t="s">
        <v>18</v>
      </c>
      <c r="R62" s="48" t="s">
        <v>18</v>
      </c>
      <c r="S62" s="48" t="s">
        <v>18</v>
      </c>
      <c r="T62" s="48" t="s">
        <v>18</v>
      </c>
    </row>
    <row r="65" ht="12">
      <c r="B65" s="50" t="s">
        <v>43</v>
      </c>
    </row>
    <row r="68" spans="1:20" s="53" customFormat="1" ht="12">
      <c r="A68" s="50" t="s">
        <v>12</v>
      </c>
      <c r="B68" s="51"/>
      <c r="C68" s="52">
        <v>2002</v>
      </c>
      <c r="D68" s="52">
        <f aca="true" t="shared" si="29" ref="D68:S68">C68+1</f>
        <v>2003</v>
      </c>
      <c r="E68" s="52">
        <f t="shared" si="29"/>
        <v>2004</v>
      </c>
      <c r="F68" s="52">
        <f t="shared" si="29"/>
        <v>2005</v>
      </c>
      <c r="G68" s="52">
        <f t="shared" si="29"/>
        <v>2006</v>
      </c>
      <c r="H68" s="52">
        <f t="shared" si="29"/>
        <v>2007</v>
      </c>
      <c r="I68" s="52">
        <f t="shared" si="29"/>
        <v>2008</v>
      </c>
      <c r="J68" s="52">
        <f t="shared" si="29"/>
        <v>2009</v>
      </c>
      <c r="K68" s="52">
        <f t="shared" si="29"/>
        <v>2010</v>
      </c>
      <c r="L68" s="52">
        <f t="shared" si="29"/>
        <v>2011</v>
      </c>
      <c r="M68" s="52">
        <f t="shared" si="29"/>
        <v>2012</v>
      </c>
      <c r="N68" s="52">
        <f t="shared" si="29"/>
        <v>2013</v>
      </c>
      <c r="O68" s="52">
        <f t="shared" si="29"/>
        <v>2014</v>
      </c>
      <c r="P68" s="52">
        <f t="shared" si="29"/>
        <v>2015</v>
      </c>
      <c r="Q68" s="52">
        <f t="shared" si="29"/>
        <v>2016</v>
      </c>
      <c r="R68" s="52">
        <f t="shared" si="29"/>
        <v>2017</v>
      </c>
      <c r="S68" s="52">
        <f t="shared" si="29"/>
        <v>2018</v>
      </c>
      <c r="T68" s="52" t="s">
        <v>14</v>
      </c>
    </row>
    <row r="70" spans="1:20" s="9" customFormat="1" ht="12">
      <c r="A70" s="8" t="s">
        <v>44</v>
      </c>
      <c r="B70" s="17"/>
      <c r="C70" s="10">
        <f>$T$11-B11</f>
        <v>300</v>
      </c>
      <c r="D70" s="10">
        <f aca="true" t="shared" si="30" ref="D70:S70">C71</f>
        <v>300</v>
      </c>
      <c r="E70" s="10">
        <f t="shared" si="30"/>
        <v>192.75</v>
      </c>
      <c r="F70" s="10">
        <f t="shared" si="30"/>
        <v>114.75</v>
      </c>
      <c r="G70" s="10">
        <f t="shared" si="30"/>
        <v>63.824999999999996</v>
      </c>
      <c r="H70" s="10">
        <f t="shared" si="30"/>
        <v>30.525</v>
      </c>
      <c r="I70" s="10">
        <f t="shared" si="30"/>
        <v>8.774999999999999</v>
      </c>
      <c r="J70" s="10">
        <f t="shared" si="30"/>
        <v>0</v>
      </c>
      <c r="K70" s="10">
        <f t="shared" si="30"/>
        <v>0</v>
      </c>
      <c r="L70" s="10">
        <f t="shared" si="30"/>
        <v>0</v>
      </c>
      <c r="M70" s="10">
        <f t="shared" si="30"/>
        <v>0</v>
      </c>
      <c r="N70" s="10">
        <f t="shared" si="30"/>
        <v>0</v>
      </c>
      <c r="O70" s="10">
        <f t="shared" si="30"/>
        <v>0</v>
      </c>
      <c r="P70" s="10">
        <f t="shared" si="30"/>
        <v>0</v>
      </c>
      <c r="Q70" s="10">
        <f t="shared" si="30"/>
        <v>0</v>
      </c>
      <c r="R70" s="10">
        <f t="shared" si="30"/>
        <v>0</v>
      </c>
      <c r="S70" s="10">
        <f t="shared" si="30"/>
        <v>0</v>
      </c>
      <c r="T70" s="10">
        <f aca="true" t="shared" si="31" ref="T70:T82">SUM(C70:S70)</f>
        <v>1010.625</v>
      </c>
    </row>
    <row r="71" spans="1:20" s="9" customFormat="1" ht="12">
      <c r="A71" s="8" t="s">
        <v>45</v>
      </c>
      <c r="B71" s="17"/>
      <c r="C71" s="10">
        <f>C70-C11</f>
        <v>300</v>
      </c>
      <c r="D71" s="10">
        <f aca="true" t="shared" si="32" ref="D71:S71">C71-D11</f>
        <v>192.75</v>
      </c>
      <c r="E71" s="10">
        <f t="shared" si="32"/>
        <v>114.75</v>
      </c>
      <c r="F71" s="10">
        <f t="shared" si="32"/>
        <v>63.824999999999996</v>
      </c>
      <c r="G71" s="10">
        <f t="shared" si="32"/>
        <v>30.525</v>
      </c>
      <c r="H71" s="10">
        <f t="shared" si="32"/>
        <v>8.774999999999999</v>
      </c>
      <c r="I71" s="10">
        <f t="shared" si="32"/>
        <v>0</v>
      </c>
      <c r="J71" s="10">
        <f t="shared" si="32"/>
        <v>0</v>
      </c>
      <c r="K71" s="10">
        <f t="shared" si="32"/>
        <v>0</v>
      </c>
      <c r="L71" s="10">
        <f t="shared" si="32"/>
        <v>0</v>
      </c>
      <c r="M71" s="10">
        <f t="shared" si="32"/>
        <v>0</v>
      </c>
      <c r="N71" s="10">
        <f t="shared" si="32"/>
        <v>0</v>
      </c>
      <c r="O71" s="10">
        <f t="shared" si="32"/>
        <v>0</v>
      </c>
      <c r="P71" s="10">
        <f t="shared" si="32"/>
        <v>0</v>
      </c>
      <c r="Q71" s="10">
        <f t="shared" si="32"/>
        <v>0</v>
      </c>
      <c r="R71" s="10">
        <f t="shared" si="32"/>
        <v>0</v>
      </c>
      <c r="S71" s="10">
        <f t="shared" si="32"/>
        <v>0</v>
      </c>
      <c r="T71" s="10">
        <f t="shared" si="31"/>
        <v>710.625</v>
      </c>
    </row>
    <row r="72" spans="1:20" s="9" customFormat="1" ht="12">
      <c r="A72" s="8" t="s">
        <v>46</v>
      </c>
      <c r="B72" s="17"/>
      <c r="C72" s="10">
        <f>T29-B73</f>
        <v>100</v>
      </c>
      <c r="D72" s="10">
        <f>C72-C73</f>
        <v>100</v>
      </c>
      <c r="E72" s="10">
        <f aca="true" t="shared" si="33" ref="E72:S72">D72-D73</f>
        <v>64.25</v>
      </c>
      <c r="F72" s="10">
        <f t="shared" si="33"/>
        <v>38.25</v>
      </c>
      <c r="G72" s="10">
        <f t="shared" si="33"/>
        <v>21.275</v>
      </c>
      <c r="H72" s="10">
        <f t="shared" si="33"/>
        <v>10.174999999999999</v>
      </c>
      <c r="I72" s="10">
        <f t="shared" si="33"/>
        <v>2.925</v>
      </c>
      <c r="J72" s="10">
        <f t="shared" si="33"/>
        <v>0</v>
      </c>
      <c r="K72" s="10">
        <f t="shared" si="33"/>
        <v>0</v>
      </c>
      <c r="L72" s="10">
        <f t="shared" si="33"/>
        <v>0</v>
      </c>
      <c r="M72" s="10">
        <f t="shared" si="33"/>
        <v>0</v>
      </c>
      <c r="N72" s="10">
        <f t="shared" si="33"/>
        <v>0</v>
      </c>
      <c r="O72" s="10">
        <f t="shared" si="33"/>
        <v>0</v>
      </c>
      <c r="P72" s="10">
        <f t="shared" si="33"/>
        <v>0</v>
      </c>
      <c r="Q72" s="10">
        <f t="shared" si="33"/>
        <v>0</v>
      </c>
      <c r="R72" s="10">
        <f t="shared" si="33"/>
        <v>0</v>
      </c>
      <c r="S72" s="10">
        <f t="shared" si="33"/>
        <v>0</v>
      </c>
      <c r="T72" s="10">
        <f t="shared" si="31"/>
        <v>336.875</v>
      </c>
    </row>
    <row r="73" spans="1:20" s="9" customFormat="1" ht="12">
      <c r="A73" s="8" t="s">
        <v>47</v>
      </c>
      <c r="B73" s="17"/>
      <c r="C73" s="10">
        <f aca="true" t="shared" si="34" ref="C73:S73">IF(C72=0,0,(+C11/C70)*C72)</f>
        <v>0</v>
      </c>
      <c r="D73" s="10">
        <f t="shared" si="34"/>
        <v>35.75</v>
      </c>
      <c r="E73" s="10">
        <f t="shared" si="34"/>
        <v>26</v>
      </c>
      <c r="F73" s="10">
        <f t="shared" si="34"/>
        <v>16.975</v>
      </c>
      <c r="G73" s="10">
        <f t="shared" si="34"/>
        <v>11.1</v>
      </c>
      <c r="H73" s="10">
        <f t="shared" si="34"/>
        <v>7.249999999999999</v>
      </c>
      <c r="I73" s="10">
        <f t="shared" si="34"/>
        <v>2.925</v>
      </c>
      <c r="J73" s="10">
        <f t="shared" si="34"/>
        <v>0</v>
      </c>
      <c r="K73" s="10">
        <f t="shared" si="34"/>
        <v>0</v>
      </c>
      <c r="L73" s="10">
        <f t="shared" si="34"/>
        <v>0</v>
      </c>
      <c r="M73" s="10">
        <f t="shared" si="34"/>
        <v>0</v>
      </c>
      <c r="N73" s="10">
        <f t="shared" si="34"/>
        <v>0</v>
      </c>
      <c r="O73" s="10">
        <f t="shared" si="34"/>
        <v>0</v>
      </c>
      <c r="P73" s="10">
        <f t="shared" si="34"/>
        <v>0</v>
      </c>
      <c r="Q73" s="10">
        <f t="shared" si="34"/>
        <v>0</v>
      </c>
      <c r="R73" s="10">
        <f t="shared" si="34"/>
        <v>0</v>
      </c>
      <c r="S73" s="10">
        <f t="shared" si="34"/>
        <v>0</v>
      </c>
      <c r="T73" s="10">
        <f t="shared" si="31"/>
        <v>99.99999999999999</v>
      </c>
    </row>
    <row r="74" spans="1:20" ht="12">
      <c r="A74" s="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10">
        <f t="shared" si="31"/>
        <v>0</v>
      </c>
    </row>
    <row r="75" spans="1:20" ht="12">
      <c r="A75" s="6" t="s">
        <v>48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10">
        <f t="shared" si="31"/>
        <v>0</v>
      </c>
    </row>
    <row r="76" spans="1:20" ht="12">
      <c r="A76" s="6" t="s">
        <v>49</v>
      </c>
      <c r="C76" s="21">
        <f>IF($B$29=0,-C29,-C29/(1+$B$6)^0.5)</f>
        <v>-100</v>
      </c>
      <c r="D76" s="21">
        <f aca="true" t="shared" si="35" ref="D76:S76">IF($B29=0,-D29,-D29/(1+$B$6)^(0.5+D68-$C68))</f>
        <v>0</v>
      </c>
      <c r="E76" s="21">
        <f t="shared" si="35"/>
        <v>0</v>
      </c>
      <c r="F76" s="21">
        <f t="shared" si="35"/>
        <v>0</v>
      </c>
      <c r="G76" s="21">
        <f t="shared" si="35"/>
        <v>0</v>
      </c>
      <c r="H76" s="21">
        <f t="shared" si="35"/>
        <v>0</v>
      </c>
      <c r="I76" s="21">
        <f t="shared" si="35"/>
        <v>0</v>
      </c>
      <c r="J76" s="21">
        <f t="shared" si="35"/>
        <v>0</v>
      </c>
      <c r="K76" s="21">
        <f t="shared" si="35"/>
        <v>0</v>
      </c>
      <c r="L76" s="21">
        <f t="shared" si="35"/>
        <v>0</v>
      </c>
      <c r="M76" s="21">
        <f t="shared" si="35"/>
        <v>0</v>
      </c>
      <c r="N76" s="21">
        <f t="shared" si="35"/>
        <v>0</v>
      </c>
      <c r="O76" s="21">
        <f t="shared" si="35"/>
        <v>0</v>
      </c>
      <c r="P76" s="21">
        <f t="shared" si="35"/>
        <v>0</v>
      </c>
      <c r="Q76" s="21">
        <f t="shared" si="35"/>
        <v>0</v>
      </c>
      <c r="R76" s="21">
        <f t="shared" si="35"/>
        <v>0</v>
      </c>
      <c r="S76" s="21">
        <f t="shared" si="35"/>
        <v>0</v>
      </c>
      <c r="T76" s="10">
        <f t="shared" si="31"/>
        <v>-100</v>
      </c>
    </row>
    <row r="77" spans="1:20" ht="12">
      <c r="A77" s="6" t="s">
        <v>50</v>
      </c>
      <c r="C77" s="21">
        <f>IF($B$30=0,-C30,-C30/(1+$B$6)^0.5)</f>
        <v>-149.2007693184502</v>
      </c>
      <c r="D77" s="21">
        <f aca="true" t="shared" si="36" ref="D77:S77">IF($B30=0,-D30,-D30/(1+$B$6)^(0.5+D69-$C69))</f>
        <v>0</v>
      </c>
      <c r="E77" s="21">
        <f t="shared" si="36"/>
        <v>0</v>
      </c>
      <c r="F77" s="21">
        <f t="shared" si="36"/>
        <v>0</v>
      </c>
      <c r="G77" s="21">
        <f t="shared" si="36"/>
        <v>0</v>
      </c>
      <c r="H77" s="21">
        <f t="shared" si="36"/>
        <v>0</v>
      </c>
      <c r="I77" s="21">
        <f t="shared" si="36"/>
        <v>0</v>
      </c>
      <c r="J77" s="21">
        <f t="shared" si="36"/>
        <v>0</v>
      </c>
      <c r="K77" s="21">
        <f t="shared" si="36"/>
        <v>0</v>
      </c>
      <c r="L77" s="21">
        <f t="shared" si="36"/>
        <v>0</v>
      </c>
      <c r="M77" s="21">
        <f t="shared" si="36"/>
        <v>0</v>
      </c>
      <c r="N77" s="21">
        <f t="shared" si="36"/>
        <v>0</v>
      </c>
      <c r="O77" s="21">
        <f t="shared" si="36"/>
        <v>0</v>
      </c>
      <c r="P77" s="21">
        <f t="shared" si="36"/>
        <v>0</v>
      </c>
      <c r="Q77" s="21">
        <f t="shared" si="36"/>
        <v>0</v>
      </c>
      <c r="R77" s="21">
        <f t="shared" si="36"/>
        <v>0</v>
      </c>
      <c r="S77" s="21">
        <f t="shared" si="36"/>
        <v>0</v>
      </c>
      <c r="T77" s="10">
        <f t="shared" si="31"/>
        <v>-149.2007693184502</v>
      </c>
    </row>
    <row r="78" spans="1:20" ht="12">
      <c r="A78" s="6" t="s">
        <v>51</v>
      </c>
      <c r="C78" s="21">
        <f>IF($B$31=0,-C31,-C31/(1+$B$6)^0.5)</f>
        <v>-317.05163480170665</v>
      </c>
      <c r="D78" s="21">
        <f aca="true" t="shared" si="37" ref="D78:S78">IF($B31=0,-D31,-D31/(1+$B$6)^(0.5+D70-$C70))</f>
        <v>0</v>
      </c>
      <c r="E78" s="21">
        <f t="shared" si="37"/>
        <v>0</v>
      </c>
      <c r="F78" s="21">
        <f t="shared" si="37"/>
        <v>0</v>
      </c>
      <c r="G78" s="21">
        <f t="shared" si="37"/>
        <v>0</v>
      </c>
      <c r="H78" s="21">
        <f t="shared" si="37"/>
        <v>0</v>
      </c>
      <c r="I78" s="21">
        <f t="shared" si="37"/>
        <v>0</v>
      </c>
      <c r="J78" s="21">
        <f t="shared" si="37"/>
        <v>0</v>
      </c>
      <c r="K78" s="21">
        <f t="shared" si="37"/>
        <v>0</v>
      </c>
      <c r="L78" s="21">
        <f t="shared" si="37"/>
        <v>0</v>
      </c>
      <c r="M78" s="21">
        <f t="shared" si="37"/>
        <v>0</v>
      </c>
      <c r="N78" s="21">
        <f t="shared" si="37"/>
        <v>0</v>
      </c>
      <c r="O78" s="21">
        <f t="shared" si="37"/>
        <v>0</v>
      </c>
      <c r="P78" s="21">
        <f t="shared" si="37"/>
        <v>0</v>
      </c>
      <c r="Q78" s="21">
        <f t="shared" si="37"/>
        <v>0</v>
      </c>
      <c r="R78" s="21">
        <f t="shared" si="37"/>
        <v>0</v>
      </c>
      <c r="S78" s="21">
        <f t="shared" si="37"/>
        <v>0</v>
      </c>
      <c r="T78" s="10">
        <f t="shared" si="31"/>
        <v>-317.05163480170665</v>
      </c>
    </row>
    <row r="79" spans="1:20" ht="12">
      <c r="A79" s="6" t="s">
        <v>52</v>
      </c>
      <c r="C79" s="21">
        <f>IF($B$32=0,-C32,-C32/(1+$B$6)^0.5)</f>
        <v>0</v>
      </c>
      <c r="D79" s="21">
        <f aca="true" t="shared" si="38" ref="D79:S79">IF($B32=0,-D32,-D32/(1+$B$6)^(0.5+D71-$C71))</f>
        <v>0</v>
      </c>
      <c r="E79" s="21">
        <f t="shared" si="38"/>
        <v>0</v>
      </c>
      <c r="F79" s="21">
        <f t="shared" si="38"/>
        <v>0</v>
      </c>
      <c r="G79" s="21">
        <f t="shared" si="38"/>
        <v>0</v>
      </c>
      <c r="H79" s="21">
        <f t="shared" si="38"/>
        <v>0</v>
      </c>
      <c r="I79" s="21">
        <f t="shared" si="38"/>
        <v>0</v>
      </c>
      <c r="J79" s="21">
        <f t="shared" si="38"/>
        <v>0</v>
      </c>
      <c r="K79" s="21">
        <f t="shared" si="38"/>
        <v>0</v>
      </c>
      <c r="L79" s="21">
        <f t="shared" si="38"/>
        <v>0</v>
      </c>
      <c r="M79" s="21">
        <f t="shared" si="38"/>
        <v>0</v>
      </c>
      <c r="N79" s="21">
        <f t="shared" si="38"/>
        <v>0</v>
      </c>
      <c r="O79" s="21">
        <f t="shared" si="38"/>
        <v>0</v>
      </c>
      <c r="P79" s="21">
        <f t="shared" si="38"/>
        <v>0</v>
      </c>
      <c r="Q79" s="21">
        <f t="shared" si="38"/>
        <v>0</v>
      </c>
      <c r="R79" s="21">
        <f t="shared" si="38"/>
        <v>0</v>
      </c>
      <c r="S79" s="21">
        <f t="shared" si="38"/>
        <v>0</v>
      </c>
      <c r="T79" s="10">
        <f t="shared" si="31"/>
        <v>0</v>
      </c>
    </row>
    <row r="80" spans="1:20" ht="12">
      <c r="A80" s="6" t="s">
        <v>53</v>
      </c>
      <c r="C80" s="31">
        <f>(C37+C29+C30+C31+C32)/(1+$B$6)^0.5</f>
        <v>97.25957114395659</v>
      </c>
      <c r="D80" s="31">
        <f aca="true" t="shared" si="39" ref="D80:S80">(D37+D29+D30+D31+D32)/(1+$B$6)^(0.5+D68-$C68)</f>
        <v>915.6509005666937</v>
      </c>
      <c r="E80" s="31">
        <f t="shared" si="39"/>
        <v>549.2056875194487</v>
      </c>
      <c r="F80" s="31">
        <f t="shared" si="39"/>
        <v>279.3070189118518</v>
      </c>
      <c r="G80" s="31">
        <f t="shared" si="39"/>
        <v>130.54657345275814</v>
      </c>
      <c r="H80" s="31">
        <f t="shared" si="39"/>
        <v>48.35506809882798</v>
      </c>
      <c r="I80" s="31">
        <f t="shared" si="39"/>
        <v>-16.93195458339477</v>
      </c>
      <c r="J80" s="31">
        <f t="shared" si="39"/>
        <v>0</v>
      </c>
      <c r="K80" s="31">
        <f t="shared" si="39"/>
        <v>0</v>
      </c>
      <c r="L80" s="31">
        <f t="shared" si="39"/>
        <v>0</v>
      </c>
      <c r="M80" s="31">
        <f t="shared" si="39"/>
        <v>0</v>
      </c>
      <c r="N80" s="31">
        <f t="shared" si="39"/>
        <v>0</v>
      </c>
      <c r="O80" s="31">
        <f t="shared" si="39"/>
        <v>0</v>
      </c>
      <c r="P80" s="31">
        <f t="shared" si="39"/>
        <v>0</v>
      </c>
      <c r="Q80" s="31">
        <f t="shared" si="39"/>
        <v>0</v>
      </c>
      <c r="R80" s="31">
        <f t="shared" si="39"/>
        <v>0</v>
      </c>
      <c r="S80" s="31">
        <f t="shared" si="39"/>
        <v>0</v>
      </c>
      <c r="T80" s="32">
        <f t="shared" si="31"/>
        <v>2003.3928651101423</v>
      </c>
    </row>
    <row r="81" spans="1:20" s="5" customFormat="1" ht="12">
      <c r="A81" s="6" t="s">
        <v>54</v>
      </c>
      <c r="B81" s="15"/>
      <c r="C81" s="30">
        <f>SUM(C76:C80)</f>
        <v>-468.99283297620025</v>
      </c>
      <c r="D81" s="30">
        <f aca="true" t="shared" si="40" ref="D81:S81">SUM(D76:D80)</f>
        <v>915.6509005666937</v>
      </c>
      <c r="E81" s="30">
        <f t="shared" si="40"/>
        <v>549.2056875194487</v>
      </c>
      <c r="F81" s="30">
        <f t="shared" si="40"/>
        <v>279.3070189118518</v>
      </c>
      <c r="G81" s="30">
        <f t="shared" si="40"/>
        <v>130.54657345275814</v>
      </c>
      <c r="H81" s="30">
        <f t="shared" si="40"/>
        <v>48.35506809882798</v>
      </c>
      <c r="I81" s="30">
        <f t="shared" si="40"/>
        <v>-16.93195458339477</v>
      </c>
      <c r="J81" s="30">
        <f t="shared" si="40"/>
        <v>0</v>
      </c>
      <c r="K81" s="30">
        <f t="shared" si="40"/>
        <v>0</v>
      </c>
      <c r="L81" s="30">
        <f t="shared" si="40"/>
        <v>0</v>
      </c>
      <c r="M81" s="30">
        <f t="shared" si="40"/>
        <v>0</v>
      </c>
      <c r="N81" s="30">
        <f t="shared" si="40"/>
        <v>0</v>
      </c>
      <c r="O81" s="30">
        <f t="shared" si="40"/>
        <v>0</v>
      </c>
      <c r="P81" s="30">
        <f t="shared" si="40"/>
        <v>0</v>
      </c>
      <c r="Q81" s="30">
        <f t="shared" si="40"/>
        <v>0</v>
      </c>
      <c r="R81" s="30">
        <f t="shared" si="40"/>
        <v>0</v>
      </c>
      <c r="S81" s="30">
        <f t="shared" si="40"/>
        <v>0</v>
      </c>
      <c r="T81" s="10">
        <f t="shared" si="31"/>
        <v>1437.1404609899853</v>
      </c>
    </row>
    <row r="82" spans="1:20" s="29" customFormat="1" ht="12">
      <c r="A82" s="27" t="s">
        <v>55</v>
      </c>
      <c r="B82" s="28"/>
      <c r="C82" s="26">
        <f>IF(C39&gt;0,1,0)</f>
        <v>0</v>
      </c>
      <c r="D82" s="26">
        <f>IF(SUM($B$82:C82)&gt;0,0,IF(D39&gt;0,ABS(C39/D37)+D68-$C$68,0))</f>
        <v>1.438978116445469</v>
      </c>
      <c r="E82" s="26">
        <f>IF(SUM($B$82:D82)&gt;0,0,IF(E39&gt;0,ABS(D39/E37)+E68-$C$68,0))</f>
        <v>0</v>
      </c>
      <c r="F82" s="26">
        <f>IF(SUM($B$82:E82)&gt;0,0,IF(F39&gt;0,ABS(E39/F37)+F68-$C$68,0))</f>
        <v>0</v>
      </c>
      <c r="G82" s="26">
        <f>IF(SUM($B$82:F82)&gt;0,0,IF(G39&gt;0,ABS(F39/G37)+G68-$C$68,0))</f>
        <v>0</v>
      </c>
      <c r="H82" s="26">
        <f>IF(SUM($B$82:G82)&gt;0,0,IF(H39&gt;0,ABS(G39/H37)+H68-$C$68,0))</f>
        <v>0</v>
      </c>
      <c r="I82" s="26">
        <f>IF(SUM($B$82:H82)&gt;0,0,IF(I39&gt;0,ABS(H39/I37)+I68-$C$68,0))</f>
        <v>0</v>
      </c>
      <c r="J82" s="26">
        <f>IF(SUM($B$82:I82)&gt;0,0,IF(J39&gt;0,ABS(I39/J37)+J68-$C$68,0))</f>
        <v>0</v>
      </c>
      <c r="K82" s="26">
        <f>IF(SUM($B$82:J82)&gt;0,0,IF(K39&gt;0,ABS(J39/K37)+K68-$C$68,0))</f>
        <v>0</v>
      </c>
      <c r="L82" s="26">
        <f>IF(SUM($B$82:K82)&gt;0,0,IF(L39&gt;0,ABS(K39/L37)+L68-$C$68,0))</f>
        <v>0</v>
      </c>
      <c r="M82" s="26">
        <f>IF(SUM($B$82:L82)&gt;0,0,IF(M39&gt;0,ABS(L39/M37)+M68-$C$68,0))</f>
        <v>0</v>
      </c>
      <c r="N82" s="26">
        <f>IF(SUM($B$82:M82)&gt;0,0,IF(N39&gt;0,ABS(M39/N37)+N68-$C$68,0))</f>
        <v>0</v>
      </c>
      <c r="O82" s="26">
        <f>IF(SUM($B$82:N82)&gt;0,0,IF(O39&gt;0,ABS(N39/O37)+O68-$C$68,0))</f>
        <v>0</v>
      </c>
      <c r="P82" s="26">
        <f>IF(SUM($B$82:O82)&gt;0,0,IF(P39&gt;0,ABS(O39/P37)+P68-$C$68,0))</f>
        <v>0</v>
      </c>
      <c r="Q82" s="26">
        <f>IF(SUM($B$82:P82)&gt;0,0,IF(Q39&gt;0,ABS(P39/Q37)+Q68-$C$68,0))</f>
        <v>0</v>
      </c>
      <c r="R82" s="26">
        <f>IF(SUM($B$82:Q82)&gt;0,0,IF(R39&gt;0,ABS(Q39/R37)+R68-$C$68,0))</f>
        <v>0</v>
      </c>
      <c r="S82" s="26">
        <f>IF(SUM($B$82:R82)&gt;0,0,IF(S39&gt;0,ABS(R39/S37)+S68-$C$68,0))</f>
        <v>0</v>
      </c>
      <c r="T82" s="57">
        <f t="shared" si="31"/>
        <v>1.438978116445469</v>
      </c>
    </row>
    <row r="83" spans="1:19" s="29" customFormat="1" ht="12">
      <c r="A83" s="27"/>
      <c r="B83" s="28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</row>
  </sheetData>
  <sheetProtection sheet="1" objects="1" scenarios="1"/>
  <printOptions/>
  <pageMargins left="0.2" right="0.2" top="0.48" bottom="0.5" header="0.5" footer="0.5"/>
  <pageSetup horizontalDpi="300" verticalDpi="300" orientation="landscape" paperSize="5" scale="85"/>
  <headerFooter alignWithMargins="0">
    <oddFooter>&amp;L&amp;"Arial,Regular"&amp;6&amp;F
&amp;C&amp;"Arial,Regular"&amp;9Collarini Engineering Inc.&amp;10
&amp;8Houston   (832) 251-0160
New Orleans   (504) 522-9077&amp;R&amp;"Arial,Regular"&amp;8&amp;D&amp;10
</oddFooter>
  </headerFooter>
  <rowBreaks count="1" manualBreakCount="1">
    <brk id="44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United States Example</dc:title>
  <dc:subject/>
  <dc:creator>Cheryl Collarini</dc:creator>
  <cp:keywords/>
  <dc:description/>
  <cp:lastModifiedBy>Rico Suave</cp:lastModifiedBy>
  <cp:lastPrinted>2000-05-04T18:46:21Z</cp:lastPrinted>
  <dcterms:created xsi:type="dcterms:W3CDTF">2000-03-31T16:41:38Z</dcterms:created>
  <dcterms:modified xsi:type="dcterms:W3CDTF">2017-11-28T23:25:05Z</dcterms:modified>
  <cp:category/>
  <cp:version/>
  <cp:contentType/>
  <cp:contentStatus/>
</cp:coreProperties>
</file>